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Transparencia\Documentos\Articulo15\FraccionXII\Ingresos\"/>
    </mc:Choice>
  </mc:AlternateContent>
  <xr:revisionPtr revIDLastSave="0" documentId="8_{24F6EA49-84DE-428E-BD30-A33FBC44EF1E}" xr6:coauthVersionLast="47" xr6:coauthVersionMax="47" xr10:uidLastSave="{00000000-0000-0000-0000-000000000000}"/>
  <bookViews>
    <workbookView xWindow="-108" yWindow="-108" windowWidth="23256" windowHeight="12576" xr2:uid="{00625EE2-4E29-429C-83D2-66FC9702449F}"/>
  </bookViews>
  <sheets>
    <sheet name="Concentrado Ingreso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59" i="1" l="1"/>
  <c r="M159" i="1"/>
  <c r="L159" i="1"/>
  <c r="K159" i="1"/>
  <c r="I159" i="1"/>
  <c r="G159" i="1"/>
  <c r="F159" i="1"/>
  <c r="E159" i="1"/>
  <c r="D159" i="1"/>
  <c r="C159" i="1"/>
  <c r="J158" i="1"/>
  <c r="N155" i="1"/>
  <c r="H155" i="1"/>
  <c r="F155" i="1"/>
  <c r="L152" i="1"/>
  <c r="D152" i="1"/>
  <c r="E144" i="1"/>
  <c r="N142" i="1"/>
  <c r="M142" i="1"/>
  <c r="L142" i="1"/>
  <c r="K142" i="1"/>
  <c r="J142" i="1"/>
  <c r="I142" i="1"/>
  <c r="H142" i="1"/>
  <c r="G142" i="1"/>
  <c r="F142" i="1"/>
  <c r="D142" i="1"/>
  <c r="C142" i="1"/>
  <c r="M141" i="1"/>
  <c r="E141" i="1"/>
  <c r="J138" i="1"/>
  <c r="N137" i="1"/>
  <c r="F137" i="1"/>
  <c r="O125" i="1"/>
  <c r="N124" i="1"/>
  <c r="M124" i="1"/>
  <c r="M155" i="1" s="1"/>
  <c r="L124" i="1"/>
  <c r="L155" i="1" s="1"/>
  <c r="K124" i="1"/>
  <c r="K155" i="1" s="1"/>
  <c r="J124" i="1"/>
  <c r="J155" i="1" s="1"/>
  <c r="I124" i="1"/>
  <c r="I155" i="1" s="1"/>
  <c r="H124" i="1"/>
  <c r="G124" i="1"/>
  <c r="G155" i="1" s="1"/>
  <c r="F124" i="1"/>
  <c r="E124" i="1"/>
  <c r="E155" i="1" s="1"/>
  <c r="D124" i="1"/>
  <c r="D155" i="1" s="1"/>
  <c r="C124" i="1"/>
  <c r="C155" i="1" s="1"/>
  <c r="O123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O121" i="1"/>
  <c r="O120" i="1"/>
  <c r="O119" i="1"/>
  <c r="O118" i="1"/>
  <c r="O117" i="1"/>
  <c r="O116" i="1"/>
  <c r="N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M104" i="1" s="1"/>
  <c r="L114" i="1"/>
  <c r="K114" i="1"/>
  <c r="J114" i="1"/>
  <c r="J104" i="1" s="1"/>
  <c r="I114" i="1"/>
  <c r="I104" i="1" s="1"/>
  <c r="H114" i="1"/>
  <c r="G114" i="1"/>
  <c r="F114" i="1"/>
  <c r="F104" i="1" s="1"/>
  <c r="E114" i="1"/>
  <c r="D114" i="1"/>
  <c r="C114" i="1"/>
  <c r="O114" i="1" s="1"/>
  <c r="K113" i="1"/>
  <c r="J113" i="1"/>
  <c r="F113" i="1"/>
  <c r="E113" i="1"/>
  <c r="D113" i="1"/>
  <c r="O113" i="1" s="1"/>
  <c r="C113" i="1"/>
  <c r="O112" i="1"/>
  <c r="O111" i="1"/>
  <c r="O110" i="1"/>
  <c r="J110" i="1"/>
  <c r="J159" i="1" s="1"/>
  <c r="H110" i="1"/>
  <c r="H159" i="1" s="1"/>
  <c r="O109" i="1"/>
  <c r="O108" i="1"/>
  <c r="O107" i="1"/>
  <c r="O106" i="1"/>
  <c r="O105" i="1"/>
  <c r="L104" i="1"/>
  <c r="K104" i="1"/>
  <c r="H104" i="1"/>
  <c r="G104" i="1"/>
  <c r="C104" i="1"/>
  <c r="N103" i="1"/>
  <c r="N158" i="1" s="1"/>
  <c r="M103" i="1"/>
  <c r="L103" i="1"/>
  <c r="K103" i="1"/>
  <c r="J103" i="1"/>
  <c r="I103" i="1"/>
  <c r="G103" i="1"/>
  <c r="F103" i="1"/>
  <c r="E103" i="1"/>
  <c r="D103" i="1"/>
  <c r="D101" i="1" s="1"/>
  <c r="C103" i="1"/>
  <c r="K102" i="1"/>
  <c r="K158" i="1" s="1"/>
  <c r="J102" i="1"/>
  <c r="I102" i="1"/>
  <c r="H102" i="1"/>
  <c r="H158" i="1" s="1"/>
  <c r="G102" i="1"/>
  <c r="F102" i="1"/>
  <c r="F158" i="1" s="1"/>
  <c r="E102" i="1"/>
  <c r="D102" i="1"/>
  <c r="C102" i="1"/>
  <c r="N101" i="1"/>
  <c r="K101" i="1"/>
  <c r="J101" i="1"/>
  <c r="H101" i="1"/>
  <c r="G101" i="1"/>
  <c r="C101" i="1"/>
  <c r="N100" i="1"/>
  <c r="M100" i="1"/>
  <c r="L100" i="1"/>
  <c r="K100" i="1"/>
  <c r="J100" i="1"/>
  <c r="I100" i="1"/>
  <c r="H100" i="1"/>
  <c r="H88" i="1" s="1"/>
  <c r="H157" i="1" s="1"/>
  <c r="H156" i="1" s="1"/>
  <c r="G100" i="1"/>
  <c r="F100" i="1"/>
  <c r="E100" i="1"/>
  <c r="D100" i="1"/>
  <c r="C100" i="1"/>
  <c r="O100" i="1" s="1"/>
  <c r="L99" i="1"/>
  <c r="O99" i="1" s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N97" i="1"/>
  <c r="M97" i="1"/>
  <c r="L97" i="1"/>
  <c r="K97" i="1"/>
  <c r="J97" i="1"/>
  <c r="H97" i="1"/>
  <c r="G97" i="1"/>
  <c r="F97" i="1"/>
  <c r="O97" i="1" s="1"/>
  <c r="E97" i="1"/>
  <c r="D97" i="1"/>
  <c r="C97" i="1"/>
  <c r="O96" i="1"/>
  <c r="O95" i="1"/>
  <c r="N94" i="1"/>
  <c r="M94" i="1"/>
  <c r="L94" i="1"/>
  <c r="I94" i="1"/>
  <c r="H94" i="1"/>
  <c r="G94" i="1"/>
  <c r="F94" i="1"/>
  <c r="E94" i="1"/>
  <c r="D94" i="1"/>
  <c r="O94" i="1" s="1"/>
  <c r="O93" i="1"/>
  <c r="O92" i="1"/>
  <c r="N91" i="1"/>
  <c r="M91" i="1"/>
  <c r="M88" i="1" s="1"/>
  <c r="M157" i="1" s="1"/>
  <c r="L91" i="1"/>
  <c r="K91" i="1"/>
  <c r="J91" i="1"/>
  <c r="I91" i="1"/>
  <c r="I88" i="1" s="1"/>
  <c r="I157" i="1" s="1"/>
  <c r="H91" i="1"/>
  <c r="G91" i="1"/>
  <c r="F91" i="1"/>
  <c r="E91" i="1"/>
  <c r="E88" i="1" s="1"/>
  <c r="E157" i="1" s="1"/>
  <c r="D91" i="1"/>
  <c r="C91" i="1"/>
  <c r="O91" i="1" s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N89" i="1"/>
  <c r="M89" i="1"/>
  <c r="L89" i="1"/>
  <c r="K89" i="1"/>
  <c r="J89" i="1"/>
  <c r="I89" i="1"/>
  <c r="H89" i="1"/>
  <c r="G89" i="1"/>
  <c r="G88" i="1" s="1"/>
  <c r="G157" i="1" s="1"/>
  <c r="F89" i="1"/>
  <c r="E89" i="1"/>
  <c r="D89" i="1"/>
  <c r="C89" i="1"/>
  <c r="C88" i="1" s="1"/>
  <c r="L88" i="1"/>
  <c r="L157" i="1" s="1"/>
  <c r="D88" i="1"/>
  <c r="D157" i="1" s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N85" i="1"/>
  <c r="N84" i="1" s="1"/>
  <c r="N153" i="1" s="1"/>
  <c r="M85" i="1"/>
  <c r="L85" i="1"/>
  <c r="K85" i="1"/>
  <c r="J85" i="1"/>
  <c r="J84" i="1" s="1"/>
  <c r="J153" i="1" s="1"/>
  <c r="I85" i="1"/>
  <c r="H85" i="1"/>
  <c r="G85" i="1"/>
  <c r="F85" i="1"/>
  <c r="F84" i="1" s="1"/>
  <c r="F153" i="1" s="1"/>
  <c r="E85" i="1"/>
  <c r="D85" i="1"/>
  <c r="C85" i="1"/>
  <c r="O85" i="1" s="1"/>
  <c r="M84" i="1"/>
  <c r="L84" i="1"/>
  <c r="K84" i="1"/>
  <c r="I84" i="1"/>
  <c r="H84" i="1"/>
  <c r="H153" i="1" s="1"/>
  <c r="G84" i="1"/>
  <c r="G153" i="1" s="1"/>
  <c r="E84" i="1"/>
  <c r="E153" i="1" s="1"/>
  <c r="D84" i="1"/>
  <c r="D153" i="1" s="1"/>
  <c r="O83" i="1"/>
  <c r="N82" i="1"/>
  <c r="O82" i="1" s="1"/>
  <c r="M82" i="1"/>
  <c r="L82" i="1"/>
  <c r="K82" i="1"/>
  <c r="J82" i="1"/>
  <c r="I82" i="1"/>
  <c r="H82" i="1"/>
  <c r="G82" i="1"/>
  <c r="F82" i="1"/>
  <c r="E82" i="1"/>
  <c r="D82" i="1"/>
  <c r="C82" i="1"/>
  <c r="N81" i="1"/>
  <c r="N80" i="1" s="1"/>
  <c r="N154" i="1" s="1"/>
  <c r="M81" i="1"/>
  <c r="L81" i="1"/>
  <c r="K81" i="1"/>
  <c r="J81" i="1"/>
  <c r="J80" i="1" s="1"/>
  <c r="J154" i="1" s="1"/>
  <c r="I81" i="1"/>
  <c r="H81" i="1"/>
  <c r="G81" i="1"/>
  <c r="F81" i="1"/>
  <c r="F80" i="1" s="1"/>
  <c r="F154" i="1" s="1"/>
  <c r="E81" i="1"/>
  <c r="D81" i="1"/>
  <c r="C81" i="1"/>
  <c r="O81" i="1" s="1"/>
  <c r="M80" i="1"/>
  <c r="M154" i="1" s="1"/>
  <c r="L80" i="1"/>
  <c r="L154" i="1" s="1"/>
  <c r="K80" i="1"/>
  <c r="K154" i="1" s="1"/>
  <c r="I80" i="1"/>
  <c r="I154" i="1" s="1"/>
  <c r="H80" i="1"/>
  <c r="H154" i="1" s="1"/>
  <c r="G80" i="1"/>
  <c r="G154" i="1" s="1"/>
  <c r="E80" i="1"/>
  <c r="E154" i="1" s="1"/>
  <c r="D80" i="1"/>
  <c r="D154" i="1" s="1"/>
  <c r="E79" i="1"/>
  <c r="E142" i="1" s="1"/>
  <c r="N78" i="1"/>
  <c r="L78" i="1"/>
  <c r="L77" i="1" s="1"/>
  <c r="K78" i="1"/>
  <c r="J78" i="1"/>
  <c r="O78" i="1" s="1"/>
  <c r="N77" i="1"/>
  <c r="M77" i="1"/>
  <c r="K77" i="1"/>
  <c r="J77" i="1"/>
  <c r="I77" i="1"/>
  <c r="H77" i="1"/>
  <c r="G77" i="1"/>
  <c r="F77" i="1"/>
  <c r="E77" i="1"/>
  <c r="D77" i="1"/>
  <c r="C77" i="1"/>
  <c r="O77" i="1" s="1"/>
  <c r="N76" i="1"/>
  <c r="N141" i="1" s="1"/>
  <c r="M76" i="1"/>
  <c r="L76" i="1"/>
  <c r="L141" i="1" s="1"/>
  <c r="K76" i="1"/>
  <c r="K141" i="1" s="1"/>
  <c r="J76" i="1"/>
  <c r="J141" i="1" s="1"/>
  <c r="I76" i="1"/>
  <c r="I141" i="1" s="1"/>
  <c r="H76" i="1"/>
  <c r="H141" i="1" s="1"/>
  <c r="G76" i="1"/>
  <c r="G141" i="1" s="1"/>
  <c r="F76" i="1"/>
  <c r="F141" i="1" s="1"/>
  <c r="E76" i="1"/>
  <c r="D76" i="1"/>
  <c r="D141" i="1" s="1"/>
  <c r="C76" i="1"/>
  <c r="C141" i="1" s="1"/>
  <c r="N75" i="1"/>
  <c r="M75" i="1"/>
  <c r="M74" i="1" s="1"/>
  <c r="L75" i="1"/>
  <c r="L74" i="1" s="1"/>
  <c r="K75" i="1"/>
  <c r="O75" i="1" s="1"/>
  <c r="J75" i="1"/>
  <c r="I75" i="1"/>
  <c r="I74" i="1" s="1"/>
  <c r="N74" i="1"/>
  <c r="H74" i="1"/>
  <c r="F74" i="1"/>
  <c r="E74" i="1"/>
  <c r="D74" i="1"/>
  <c r="N73" i="1"/>
  <c r="N138" i="1" s="1"/>
  <c r="M73" i="1"/>
  <c r="M138" i="1" s="1"/>
  <c r="L73" i="1"/>
  <c r="L138" i="1" s="1"/>
  <c r="K73" i="1"/>
  <c r="J73" i="1"/>
  <c r="I73" i="1"/>
  <c r="I138" i="1" s="1"/>
  <c r="H73" i="1"/>
  <c r="H138" i="1" s="1"/>
  <c r="G73" i="1"/>
  <c r="F73" i="1"/>
  <c r="F138" i="1" s="1"/>
  <c r="E73" i="1"/>
  <c r="E138" i="1" s="1"/>
  <c r="D73" i="1"/>
  <c r="D138" i="1" s="1"/>
  <c r="C73" i="1"/>
  <c r="N72" i="1"/>
  <c r="M72" i="1"/>
  <c r="M137" i="1" s="1"/>
  <c r="L72" i="1"/>
  <c r="K72" i="1"/>
  <c r="K137" i="1" s="1"/>
  <c r="J72" i="1"/>
  <c r="J137" i="1" s="1"/>
  <c r="I72" i="1"/>
  <c r="I137" i="1" s="1"/>
  <c r="H72" i="1"/>
  <c r="G72" i="1"/>
  <c r="G137" i="1" s="1"/>
  <c r="F72" i="1"/>
  <c r="E72" i="1"/>
  <c r="E137" i="1" s="1"/>
  <c r="D72" i="1"/>
  <c r="C72" i="1"/>
  <c r="C137" i="1" s="1"/>
  <c r="N71" i="1"/>
  <c r="M71" i="1"/>
  <c r="J71" i="1"/>
  <c r="F71" i="1"/>
  <c r="E71" i="1"/>
  <c r="O70" i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N68" i="1"/>
  <c r="M68" i="1"/>
  <c r="L68" i="1"/>
  <c r="L66" i="1" s="1"/>
  <c r="K68" i="1"/>
  <c r="J68" i="1"/>
  <c r="I68" i="1"/>
  <c r="H68" i="1"/>
  <c r="H66" i="1" s="1"/>
  <c r="G68" i="1"/>
  <c r="F68" i="1"/>
  <c r="E68" i="1"/>
  <c r="D68" i="1"/>
  <c r="D66" i="1" s="1"/>
  <c r="C68" i="1"/>
  <c r="N67" i="1"/>
  <c r="N152" i="1" s="1"/>
  <c r="M67" i="1"/>
  <c r="L67" i="1"/>
  <c r="K67" i="1"/>
  <c r="K152" i="1" s="1"/>
  <c r="J67" i="1"/>
  <c r="J152" i="1" s="1"/>
  <c r="I67" i="1"/>
  <c r="H67" i="1"/>
  <c r="H152" i="1" s="1"/>
  <c r="G67" i="1"/>
  <c r="G152" i="1" s="1"/>
  <c r="F67" i="1"/>
  <c r="F152" i="1" s="1"/>
  <c r="E67" i="1"/>
  <c r="D67" i="1"/>
  <c r="C67" i="1"/>
  <c r="C152" i="1" s="1"/>
  <c r="N66" i="1"/>
  <c r="K66" i="1"/>
  <c r="J66" i="1"/>
  <c r="G66" i="1"/>
  <c r="F66" i="1"/>
  <c r="C66" i="1"/>
  <c r="M65" i="1"/>
  <c r="L65" i="1"/>
  <c r="K65" i="1"/>
  <c r="J65" i="1"/>
  <c r="I65" i="1"/>
  <c r="H65" i="1"/>
  <c r="G65" i="1"/>
  <c r="F65" i="1"/>
  <c r="O65" i="1" s="1"/>
  <c r="E65" i="1"/>
  <c r="D65" i="1"/>
  <c r="C65" i="1"/>
  <c r="O64" i="1"/>
  <c r="N63" i="1"/>
  <c r="M63" i="1"/>
  <c r="M62" i="1" s="1"/>
  <c r="L63" i="1"/>
  <c r="K63" i="1"/>
  <c r="K62" i="1" s="1"/>
  <c r="J63" i="1"/>
  <c r="I63" i="1"/>
  <c r="I62" i="1" s="1"/>
  <c r="H63" i="1"/>
  <c r="G63" i="1"/>
  <c r="G62" i="1" s="1"/>
  <c r="F63" i="1"/>
  <c r="E63" i="1"/>
  <c r="E62" i="1" s="1"/>
  <c r="D63" i="1"/>
  <c r="C63" i="1"/>
  <c r="C62" i="1" s="1"/>
  <c r="N62" i="1"/>
  <c r="L62" i="1"/>
  <c r="J62" i="1"/>
  <c r="H62" i="1"/>
  <c r="F62" i="1"/>
  <c r="D62" i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N60" i="1"/>
  <c r="M60" i="1"/>
  <c r="L60" i="1"/>
  <c r="L58" i="1" s="1"/>
  <c r="L150" i="1" s="1"/>
  <c r="K60" i="1"/>
  <c r="J60" i="1"/>
  <c r="I60" i="1"/>
  <c r="H60" i="1"/>
  <c r="H58" i="1" s="1"/>
  <c r="H150" i="1" s="1"/>
  <c r="G60" i="1"/>
  <c r="F60" i="1"/>
  <c r="E60" i="1"/>
  <c r="D60" i="1"/>
  <c r="D58" i="1" s="1"/>
  <c r="D150" i="1" s="1"/>
  <c r="C60" i="1"/>
  <c r="O60" i="1" s="1"/>
  <c r="N59" i="1"/>
  <c r="M59" i="1"/>
  <c r="M58" i="1" s="1"/>
  <c r="M150" i="1" s="1"/>
  <c r="L59" i="1"/>
  <c r="K59" i="1"/>
  <c r="K58" i="1" s="1"/>
  <c r="K150" i="1" s="1"/>
  <c r="J59" i="1"/>
  <c r="I59" i="1"/>
  <c r="I58" i="1" s="1"/>
  <c r="I150" i="1" s="1"/>
  <c r="H59" i="1"/>
  <c r="G59" i="1"/>
  <c r="G58" i="1" s="1"/>
  <c r="G150" i="1" s="1"/>
  <c r="F59" i="1"/>
  <c r="E59" i="1"/>
  <c r="E58" i="1" s="1"/>
  <c r="E150" i="1" s="1"/>
  <c r="D59" i="1"/>
  <c r="C59" i="1"/>
  <c r="O59" i="1" s="1"/>
  <c r="N58" i="1"/>
  <c r="N150" i="1" s="1"/>
  <c r="J58" i="1"/>
  <c r="J150" i="1" s="1"/>
  <c r="F58" i="1"/>
  <c r="F150" i="1" s="1"/>
  <c r="O57" i="1"/>
  <c r="N56" i="1"/>
  <c r="N144" i="1" s="1"/>
  <c r="M56" i="1"/>
  <c r="M144" i="1" s="1"/>
  <c r="L56" i="1"/>
  <c r="L144" i="1" s="1"/>
  <c r="K56" i="1"/>
  <c r="K144" i="1" s="1"/>
  <c r="J56" i="1"/>
  <c r="J144" i="1" s="1"/>
  <c r="I56" i="1"/>
  <c r="I144" i="1" s="1"/>
  <c r="H56" i="1"/>
  <c r="H144" i="1" s="1"/>
  <c r="G56" i="1"/>
  <c r="G144" i="1" s="1"/>
  <c r="F56" i="1"/>
  <c r="F144" i="1" s="1"/>
  <c r="E56" i="1"/>
  <c r="D56" i="1"/>
  <c r="D144" i="1" s="1"/>
  <c r="C56" i="1"/>
  <c r="C144" i="1" s="1"/>
  <c r="N55" i="1"/>
  <c r="N143" i="1" s="1"/>
  <c r="M55" i="1"/>
  <c r="M143" i="1" s="1"/>
  <c r="L55" i="1"/>
  <c r="L143" i="1" s="1"/>
  <c r="K55" i="1"/>
  <c r="K143" i="1" s="1"/>
  <c r="J55" i="1"/>
  <c r="J143" i="1" s="1"/>
  <c r="I55" i="1"/>
  <c r="I143" i="1" s="1"/>
  <c r="H55" i="1"/>
  <c r="H143" i="1" s="1"/>
  <c r="G55" i="1"/>
  <c r="G143" i="1" s="1"/>
  <c r="F55" i="1"/>
  <c r="F143" i="1" s="1"/>
  <c r="E55" i="1"/>
  <c r="E143" i="1" s="1"/>
  <c r="D55" i="1"/>
  <c r="D143" i="1" s="1"/>
  <c r="C55" i="1"/>
  <c r="C143" i="1" s="1"/>
  <c r="N54" i="1"/>
  <c r="N140" i="1" s="1"/>
  <c r="M54" i="1"/>
  <c r="M140" i="1" s="1"/>
  <c r="L54" i="1"/>
  <c r="L140" i="1" s="1"/>
  <c r="K54" i="1"/>
  <c r="K140" i="1" s="1"/>
  <c r="J54" i="1"/>
  <c r="J140" i="1" s="1"/>
  <c r="I54" i="1"/>
  <c r="I140" i="1" s="1"/>
  <c r="H54" i="1"/>
  <c r="H140" i="1" s="1"/>
  <c r="G54" i="1"/>
  <c r="G140" i="1" s="1"/>
  <c r="F54" i="1"/>
  <c r="F140" i="1" s="1"/>
  <c r="E54" i="1"/>
  <c r="E140" i="1" s="1"/>
  <c r="D54" i="1"/>
  <c r="D140" i="1" s="1"/>
  <c r="C54" i="1"/>
  <c r="C140" i="1" s="1"/>
  <c r="K53" i="1"/>
  <c r="K139" i="1" s="1"/>
  <c r="G53" i="1"/>
  <c r="G139" i="1" s="1"/>
  <c r="C53" i="1"/>
  <c r="C139" i="1" s="1"/>
  <c r="N52" i="1"/>
  <c r="M52" i="1"/>
  <c r="L52" i="1"/>
  <c r="L50" i="1" s="1"/>
  <c r="L151" i="1" s="1"/>
  <c r="J52" i="1"/>
  <c r="I52" i="1"/>
  <c r="F52" i="1"/>
  <c r="E52" i="1"/>
  <c r="C52" i="1"/>
  <c r="O52" i="1" s="1"/>
  <c r="N51" i="1"/>
  <c r="M51" i="1"/>
  <c r="M50" i="1" s="1"/>
  <c r="L51" i="1"/>
  <c r="K51" i="1"/>
  <c r="K50" i="1" s="1"/>
  <c r="K151" i="1" s="1"/>
  <c r="J51" i="1"/>
  <c r="I51" i="1"/>
  <c r="I50" i="1" s="1"/>
  <c r="H51" i="1"/>
  <c r="G51" i="1"/>
  <c r="G50" i="1" s="1"/>
  <c r="G151" i="1" s="1"/>
  <c r="F51" i="1"/>
  <c r="E51" i="1"/>
  <c r="E50" i="1" s="1"/>
  <c r="D51" i="1"/>
  <c r="C51" i="1"/>
  <c r="O51" i="1" s="1"/>
  <c r="N50" i="1"/>
  <c r="N151" i="1" s="1"/>
  <c r="J50" i="1"/>
  <c r="J151" i="1" s="1"/>
  <c r="H50" i="1"/>
  <c r="H151" i="1" s="1"/>
  <c r="F50" i="1"/>
  <c r="F151" i="1" s="1"/>
  <c r="D50" i="1"/>
  <c r="D151" i="1" s="1"/>
  <c r="N49" i="1"/>
  <c r="M49" i="1"/>
  <c r="L49" i="1"/>
  <c r="K49" i="1"/>
  <c r="K47" i="1" s="1"/>
  <c r="J49" i="1"/>
  <c r="I49" i="1"/>
  <c r="H49" i="1"/>
  <c r="G49" i="1"/>
  <c r="G47" i="1" s="1"/>
  <c r="F49" i="1"/>
  <c r="E49" i="1"/>
  <c r="D49" i="1"/>
  <c r="C49" i="1"/>
  <c r="C47" i="1" s="1"/>
  <c r="O47" i="1" s="1"/>
  <c r="N48" i="1"/>
  <c r="N47" i="1" s="1"/>
  <c r="M48" i="1"/>
  <c r="L48" i="1"/>
  <c r="L47" i="1" s="1"/>
  <c r="K48" i="1"/>
  <c r="J48" i="1"/>
  <c r="J47" i="1" s="1"/>
  <c r="I48" i="1"/>
  <c r="H48" i="1"/>
  <c r="H47" i="1" s="1"/>
  <c r="G48" i="1"/>
  <c r="F48" i="1"/>
  <c r="F47" i="1" s="1"/>
  <c r="E48" i="1"/>
  <c r="D48" i="1"/>
  <c r="D47" i="1" s="1"/>
  <c r="C48" i="1"/>
  <c r="O48" i="1" s="1"/>
  <c r="M47" i="1"/>
  <c r="I47" i="1"/>
  <c r="E47" i="1"/>
  <c r="N46" i="1"/>
  <c r="M46" i="1"/>
  <c r="L46" i="1"/>
  <c r="K46" i="1"/>
  <c r="I46" i="1"/>
  <c r="H46" i="1"/>
  <c r="G46" i="1"/>
  <c r="F46" i="1"/>
  <c r="E46" i="1"/>
  <c r="C46" i="1"/>
  <c r="O46" i="1" s="1"/>
  <c r="N45" i="1"/>
  <c r="N43" i="1" s="1"/>
  <c r="I45" i="1"/>
  <c r="N44" i="1"/>
  <c r="M44" i="1"/>
  <c r="M43" i="1" s="1"/>
  <c r="L44" i="1"/>
  <c r="K44" i="1"/>
  <c r="K43" i="1" s="1"/>
  <c r="J44" i="1"/>
  <c r="I44" i="1"/>
  <c r="I43" i="1" s="1"/>
  <c r="H44" i="1"/>
  <c r="G44" i="1"/>
  <c r="G43" i="1" s="1"/>
  <c r="F44" i="1"/>
  <c r="E44" i="1"/>
  <c r="E43" i="1" s="1"/>
  <c r="D44" i="1"/>
  <c r="C44" i="1"/>
  <c r="C43" i="1" s="1"/>
  <c r="O43" i="1" s="1"/>
  <c r="L43" i="1"/>
  <c r="J43" i="1"/>
  <c r="H43" i="1"/>
  <c r="F43" i="1"/>
  <c r="D43" i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H41" i="1"/>
  <c r="H40" i="1" s="1"/>
  <c r="G41" i="1"/>
  <c r="F41" i="1"/>
  <c r="F40" i="1" s="1"/>
  <c r="E41" i="1"/>
  <c r="D41" i="1"/>
  <c r="D40" i="1" s="1"/>
  <c r="C41" i="1"/>
  <c r="O41" i="1" s="1"/>
  <c r="N40" i="1"/>
  <c r="M40" i="1"/>
  <c r="L40" i="1"/>
  <c r="K40" i="1"/>
  <c r="J40" i="1"/>
  <c r="I40" i="1"/>
  <c r="G40" i="1"/>
  <c r="E40" i="1"/>
  <c r="C40" i="1"/>
  <c r="O40" i="1" s="1"/>
  <c r="N39" i="1"/>
  <c r="N36" i="1" s="1"/>
  <c r="N149" i="1" s="1"/>
  <c r="M39" i="1"/>
  <c r="L39" i="1"/>
  <c r="L36" i="1" s="1"/>
  <c r="L149" i="1" s="1"/>
  <c r="K39" i="1"/>
  <c r="J39" i="1"/>
  <c r="I39" i="1"/>
  <c r="H39" i="1"/>
  <c r="G39" i="1"/>
  <c r="F39" i="1"/>
  <c r="E39" i="1"/>
  <c r="D39" i="1"/>
  <c r="C39" i="1"/>
  <c r="O39" i="1" s="1"/>
  <c r="H38" i="1"/>
  <c r="G38" i="1"/>
  <c r="E38" i="1"/>
  <c r="C38" i="1"/>
  <c r="O38" i="1" s="1"/>
  <c r="M37" i="1"/>
  <c r="K37" i="1"/>
  <c r="J37" i="1"/>
  <c r="J36" i="1" s="1"/>
  <c r="J149" i="1" s="1"/>
  <c r="I37" i="1"/>
  <c r="H37" i="1"/>
  <c r="H36" i="1" s="1"/>
  <c r="H149" i="1" s="1"/>
  <c r="G37" i="1"/>
  <c r="F37" i="1"/>
  <c r="F36" i="1" s="1"/>
  <c r="F149" i="1" s="1"/>
  <c r="E37" i="1"/>
  <c r="D37" i="1"/>
  <c r="O37" i="1" s="1"/>
  <c r="C37" i="1"/>
  <c r="M36" i="1"/>
  <c r="M149" i="1" s="1"/>
  <c r="K36" i="1"/>
  <c r="K149" i="1" s="1"/>
  <c r="I36" i="1"/>
  <c r="I149" i="1" s="1"/>
  <c r="G36" i="1"/>
  <c r="G149" i="1" s="1"/>
  <c r="E36" i="1"/>
  <c r="E149" i="1" s="1"/>
  <c r="C36" i="1"/>
  <c r="C149" i="1" s="1"/>
  <c r="O35" i="1"/>
  <c r="O34" i="1"/>
  <c r="O33" i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O31" i="1"/>
  <c r="N30" i="1"/>
  <c r="L30" i="1"/>
  <c r="L29" i="1" s="1"/>
  <c r="L148" i="1" s="1"/>
  <c r="K30" i="1"/>
  <c r="J30" i="1"/>
  <c r="I30" i="1"/>
  <c r="G30" i="1"/>
  <c r="G29" i="1" s="1"/>
  <c r="G148" i="1" s="1"/>
  <c r="F30" i="1"/>
  <c r="E30" i="1"/>
  <c r="E29" i="1" s="1"/>
  <c r="E148" i="1" s="1"/>
  <c r="D30" i="1"/>
  <c r="C30" i="1"/>
  <c r="C29" i="1" s="1"/>
  <c r="N29" i="1"/>
  <c r="N148" i="1" s="1"/>
  <c r="M29" i="1"/>
  <c r="M148" i="1" s="1"/>
  <c r="K29" i="1"/>
  <c r="K148" i="1" s="1"/>
  <c r="J29" i="1"/>
  <c r="J148" i="1" s="1"/>
  <c r="I29" i="1"/>
  <c r="I148" i="1" s="1"/>
  <c r="H29" i="1"/>
  <c r="H148" i="1" s="1"/>
  <c r="F29" i="1"/>
  <c r="F148" i="1" s="1"/>
  <c r="D29" i="1"/>
  <c r="D148" i="1" s="1"/>
  <c r="N28" i="1"/>
  <c r="M28" i="1"/>
  <c r="M26" i="1" s="1"/>
  <c r="M147" i="1" s="1"/>
  <c r="L28" i="1"/>
  <c r="K28" i="1"/>
  <c r="K26" i="1" s="1"/>
  <c r="K147" i="1" s="1"/>
  <c r="J28" i="1"/>
  <c r="I28" i="1"/>
  <c r="H28" i="1"/>
  <c r="G28" i="1"/>
  <c r="F28" i="1"/>
  <c r="E28" i="1"/>
  <c r="D28" i="1"/>
  <c r="C28" i="1"/>
  <c r="O28" i="1" s="1"/>
  <c r="L27" i="1"/>
  <c r="J27" i="1"/>
  <c r="I27" i="1"/>
  <c r="I26" i="1" s="1"/>
  <c r="I147" i="1" s="1"/>
  <c r="H27" i="1"/>
  <c r="G27" i="1"/>
  <c r="G26" i="1" s="1"/>
  <c r="G147" i="1" s="1"/>
  <c r="F27" i="1"/>
  <c r="E27" i="1"/>
  <c r="E26" i="1" s="1"/>
  <c r="E147" i="1" s="1"/>
  <c r="D27" i="1"/>
  <c r="C27" i="1"/>
  <c r="C26" i="1" s="1"/>
  <c r="N26" i="1"/>
  <c r="N147" i="1" s="1"/>
  <c r="L26" i="1"/>
  <c r="L147" i="1" s="1"/>
  <c r="J26" i="1"/>
  <c r="J147" i="1" s="1"/>
  <c r="H26" i="1"/>
  <c r="H147" i="1" s="1"/>
  <c r="F26" i="1"/>
  <c r="F147" i="1" s="1"/>
  <c r="D26" i="1"/>
  <c r="D147" i="1" s="1"/>
  <c r="O25" i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O23" i="1"/>
  <c r="L23" i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N21" i="1"/>
  <c r="N20" i="1" s="1"/>
  <c r="N136" i="1" s="1"/>
  <c r="M21" i="1"/>
  <c r="L21" i="1"/>
  <c r="L20" i="1" s="1"/>
  <c r="L136" i="1" s="1"/>
  <c r="K21" i="1"/>
  <c r="J21" i="1"/>
  <c r="J20" i="1" s="1"/>
  <c r="J136" i="1" s="1"/>
  <c r="I21" i="1"/>
  <c r="H21" i="1"/>
  <c r="H20" i="1" s="1"/>
  <c r="H136" i="1" s="1"/>
  <c r="C21" i="1"/>
  <c r="O21" i="1" s="1"/>
  <c r="M20" i="1"/>
  <c r="M136" i="1" s="1"/>
  <c r="K20" i="1"/>
  <c r="K136" i="1" s="1"/>
  <c r="I20" i="1"/>
  <c r="I136" i="1" s="1"/>
  <c r="G20" i="1"/>
  <c r="G136" i="1" s="1"/>
  <c r="F20" i="1"/>
  <c r="F136" i="1" s="1"/>
  <c r="E20" i="1"/>
  <c r="E136" i="1" s="1"/>
  <c r="D20" i="1"/>
  <c r="D136" i="1" s="1"/>
  <c r="C20" i="1"/>
  <c r="C136" i="1" s="1"/>
  <c r="N19" i="1"/>
  <c r="N18" i="1" s="1"/>
  <c r="N135" i="1" s="1"/>
  <c r="M19" i="1"/>
  <c r="L19" i="1"/>
  <c r="L18" i="1" s="1"/>
  <c r="L135" i="1" s="1"/>
  <c r="K19" i="1"/>
  <c r="J19" i="1"/>
  <c r="J18" i="1" s="1"/>
  <c r="J135" i="1" s="1"/>
  <c r="I19" i="1"/>
  <c r="H19" i="1"/>
  <c r="H18" i="1" s="1"/>
  <c r="H135" i="1" s="1"/>
  <c r="C19" i="1"/>
  <c r="O19" i="1" s="1"/>
  <c r="M18" i="1"/>
  <c r="M135" i="1" s="1"/>
  <c r="K18" i="1"/>
  <c r="K135" i="1" s="1"/>
  <c r="I18" i="1"/>
  <c r="I135" i="1" s="1"/>
  <c r="G18" i="1"/>
  <c r="G135" i="1" s="1"/>
  <c r="F18" i="1"/>
  <c r="F135" i="1" s="1"/>
  <c r="E18" i="1"/>
  <c r="E135" i="1" s="1"/>
  <c r="D18" i="1"/>
  <c r="D135" i="1" s="1"/>
  <c r="C18" i="1"/>
  <c r="C135" i="1" s="1"/>
  <c r="N17" i="1"/>
  <c r="N16" i="1" s="1"/>
  <c r="N134" i="1" s="1"/>
  <c r="M17" i="1"/>
  <c r="L17" i="1"/>
  <c r="L16" i="1" s="1"/>
  <c r="L134" i="1" s="1"/>
  <c r="K17" i="1"/>
  <c r="J17" i="1"/>
  <c r="J16" i="1" s="1"/>
  <c r="J134" i="1" s="1"/>
  <c r="I17" i="1"/>
  <c r="H17" i="1"/>
  <c r="H16" i="1" s="1"/>
  <c r="H134" i="1" s="1"/>
  <c r="G17" i="1"/>
  <c r="F17" i="1"/>
  <c r="F16" i="1" s="1"/>
  <c r="F134" i="1" s="1"/>
  <c r="E17" i="1"/>
  <c r="D17" i="1"/>
  <c r="D16" i="1" s="1"/>
  <c r="D134" i="1" s="1"/>
  <c r="C17" i="1"/>
  <c r="O17" i="1" s="1"/>
  <c r="M16" i="1"/>
  <c r="M134" i="1" s="1"/>
  <c r="K16" i="1"/>
  <c r="K134" i="1" s="1"/>
  <c r="I16" i="1"/>
  <c r="I134" i="1" s="1"/>
  <c r="G16" i="1"/>
  <c r="G134" i="1" s="1"/>
  <c r="E16" i="1"/>
  <c r="E134" i="1" s="1"/>
  <c r="C16" i="1"/>
  <c r="C134" i="1" s="1"/>
  <c r="N15" i="1"/>
  <c r="N14" i="1" s="1"/>
  <c r="N146" i="1" s="1"/>
  <c r="M15" i="1"/>
  <c r="L15" i="1"/>
  <c r="L14" i="1" s="1"/>
  <c r="L146" i="1" s="1"/>
  <c r="K15" i="1"/>
  <c r="J15" i="1"/>
  <c r="J14" i="1" s="1"/>
  <c r="J146" i="1" s="1"/>
  <c r="J145" i="1" s="1"/>
  <c r="I15" i="1"/>
  <c r="H15" i="1"/>
  <c r="H14" i="1" s="1"/>
  <c r="H146" i="1" s="1"/>
  <c r="H145" i="1" s="1"/>
  <c r="G15" i="1"/>
  <c r="F15" i="1"/>
  <c r="F14" i="1" s="1"/>
  <c r="F146" i="1" s="1"/>
  <c r="F145" i="1" s="1"/>
  <c r="E15" i="1"/>
  <c r="D15" i="1"/>
  <c r="D14" i="1" s="1"/>
  <c r="D146" i="1" s="1"/>
  <c r="C15" i="1"/>
  <c r="O15" i="1" s="1"/>
  <c r="M14" i="1"/>
  <c r="K14" i="1"/>
  <c r="I14" i="1"/>
  <c r="G14" i="1"/>
  <c r="E14" i="1"/>
  <c r="C14" i="1"/>
  <c r="K13" i="1"/>
  <c r="J13" i="1"/>
  <c r="H13" i="1"/>
  <c r="E13" i="1"/>
  <c r="D13" i="1"/>
  <c r="D11" i="1" s="1"/>
  <c r="C13" i="1"/>
  <c r="O13" i="1" s="1"/>
  <c r="N12" i="1"/>
  <c r="N133" i="1" s="1"/>
  <c r="M12" i="1"/>
  <c r="M133" i="1" s="1"/>
  <c r="L12" i="1"/>
  <c r="L133" i="1" s="1"/>
  <c r="K12" i="1"/>
  <c r="K133" i="1" s="1"/>
  <c r="J12" i="1"/>
  <c r="J133" i="1" s="1"/>
  <c r="I12" i="1"/>
  <c r="I133" i="1" s="1"/>
  <c r="H12" i="1"/>
  <c r="H133" i="1" s="1"/>
  <c r="G12" i="1"/>
  <c r="G133" i="1" s="1"/>
  <c r="F12" i="1"/>
  <c r="F133" i="1" s="1"/>
  <c r="E12" i="1"/>
  <c r="E133" i="1" s="1"/>
  <c r="D12" i="1"/>
  <c r="D133" i="1" s="1"/>
  <c r="C12" i="1"/>
  <c r="C133" i="1" s="1"/>
  <c r="N11" i="1"/>
  <c r="L11" i="1"/>
  <c r="J11" i="1"/>
  <c r="H11" i="1"/>
  <c r="F11" i="1"/>
  <c r="N10" i="1"/>
  <c r="N132" i="1" s="1"/>
  <c r="M10" i="1"/>
  <c r="M132" i="1" s="1"/>
  <c r="L10" i="1"/>
  <c r="L132" i="1" s="1"/>
  <c r="K10" i="1"/>
  <c r="K132" i="1" s="1"/>
  <c r="J10" i="1"/>
  <c r="J132" i="1" s="1"/>
  <c r="I10" i="1"/>
  <c r="I132" i="1" s="1"/>
  <c r="H10" i="1"/>
  <c r="H132" i="1" s="1"/>
  <c r="G10" i="1"/>
  <c r="G132" i="1" s="1"/>
  <c r="F10" i="1"/>
  <c r="F132" i="1" s="1"/>
  <c r="E10" i="1"/>
  <c r="E132" i="1" s="1"/>
  <c r="D10" i="1"/>
  <c r="D132" i="1" s="1"/>
  <c r="C10" i="1"/>
  <c r="C132" i="1" s="1"/>
  <c r="N9" i="1"/>
  <c r="N8" i="1" s="1"/>
  <c r="M9" i="1"/>
  <c r="M131" i="1" s="1"/>
  <c r="L9" i="1"/>
  <c r="L131" i="1" s="1"/>
  <c r="K9" i="1"/>
  <c r="K131" i="1" s="1"/>
  <c r="J9" i="1"/>
  <c r="J131" i="1" s="1"/>
  <c r="I9" i="1"/>
  <c r="I131" i="1" s="1"/>
  <c r="H9" i="1"/>
  <c r="H131" i="1" s="1"/>
  <c r="G9" i="1"/>
  <c r="G131" i="1" s="1"/>
  <c r="F9" i="1"/>
  <c r="F131" i="1" s="1"/>
  <c r="E9" i="1"/>
  <c r="E131" i="1" s="1"/>
  <c r="D9" i="1"/>
  <c r="D8" i="1" s="1"/>
  <c r="C9" i="1"/>
  <c r="C131" i="1" s="1"/>
  <c r="M8" i="1"/>
  <c r="M130" i="1" s="1"/>
  <c r="I8" i="1"/>
  <c r="E8" i="1"/>
  <c r="E130" i="1" s="1"/>
  <c r="O7" i="1"/>
  <c r="O6" i="1"/>
  <c r="O5" i="1"/>
  <c r="N4" i="1"/>
  <c r="M4" i="1"/>
  <c r="L4" i="1"/>
  <c r="K4" i="1"/>
  <c r="J4" i="1"/>
  <c r="I4" i="1"/>
  <c r="H4" i="1"/>
  <c r="G4" i="1"/>
  <c r="F4" i="1"/>
  <c r="E4" i="1"/>
  <c r="O4" i="1" s="1"/>
  <c r="D4" i="1"/>
  <c r="C4" i="1"/>
  <c r="N145" i="1" l="1"/>
  <c r="C147" i="1"/>
  <c r="O26" i="1"/>
  <c r="O62" i="1"/>
  <c r="E156" i="1"/>
  <c r="G126" i="1"/>
  <c r="N130" i="1"/>
  <c r="C148" i="1"/>
  <c r="O29" i="1"/>
  <c r="E151" i="1"/>
  <c r="I151" i="1"/>
  <c r="M151" i="1"/>
  <c r="L156" i="1"/>
  <c r="O10" i="1"/>
  <c r="E146" i="1"/>
  <c r="E145" i="1" s="1"/>
  <c r="O20" i="1"/>
  <c r="E152" i="1"/>
  <c r="E66" i="1"/>
  <c r="I152" i="1"/>
  <c r="I66" i="1"/>
  <c r="O66" i="1" s="1"/>
  <c r="M152" i="1"/>
  <c r="M66" i="1"/>
  <c r="L153" i="1"/>
  <c r="L145" i="1" s="1"/>
  <c r="N131" i="1"/>
  <c r="F8" i="1"/>
  <c r="F130" i="1" s="1"/>
  <c r="J8" i="1"/>
  <c r="J130" i="1" s="1"/>
  <c r="J129" i="1" s="1"/>
  <c r="C11" i="1"/>
  <c r="G11" i="1"/>
  <c r="K11" i="1"/>
  <c r="O27" i="1"/>
  <c r="D36" i="1"/>
  <c r="D149" i="1" s="1"/>
  <c r="D145" i="1" s="1"/>
  <c r="C50" i="1"/>
  <c r="D53" i="1"/>
  <c r="D139" i="1" s="1"/>
  <c r="H53" i="1"/>
  <c r="H139" i="1" s="1"/>
  <c r="L53" i="1"/>
  <c r="L139" i="1" s="1"/>
  <c r="O54" i="1"/>
  <c r="C58" i="1"/>
  <c r="J74" i="1"/>
  <c r="C80" i="1"/>
  <c r="C84" i="1"/>
  <c r="F101" i="1"/>
  <c r="D158" i="1"/>
  <c r="D156" i="1" s="1"/>
  <c r="O103" i="1"/>
  <c r="L158" i="1"/>
  <c r="L101" i="1"/>
  <c r="D104" i="1"/>
  <c r="O104" i="1" s="1"/>
  <c r="O159" i="1"/>
  <c r="M146" i="1"/>
  <c r="O44" i="1"/>
  <c r="C146" i="1"/>
  <c r="O14" i="1"/>
  <c r="E53" i="1"/>
  <c r="E139" i="1" s="1"/>
  <c r="E129" i="1" s="1"/>
  <c r="M53" i="1"/>
  <c r="M139" i="1" s="1"/>
  <c r="O55" i="1"/>
  <c r="O63" i="1"/>
  <c r="O68" i="1"/>
  <c r="I71" i="1"/>
  <c r="I130" i="1" s="1"/>
  <c r="I129" i="1" s="1"/>
  <c r="C138" i="1"/>
  <c r="C71" i="1"/>
  <c r="G138" i="1"/>
  <c r="G71" i="1"/>
  <c r="K138" i="1"/>
  <c r="K71" i="1"/>
  <c r="O73" i="1"/>
  <c r="K74" i="1"/>
  <c r="C157" i="1"/>
  <c r="K88" i="1"/>
  <c r="K157" i="1" s="1"/>
  <c r="K156" i="1" s="1"/>
  <c r="O89" i="1"/>
  <c r="F88" i="1"/>
  <c r="F157" i="1" s="1"/>
  <c r="F156" i="1" s="1"/>
  <c r="J88" i="1"/>
  <c r="J157" i="1" s="1"/>
  <c r="J156" i="1" s="1"/>
  <c r="N88" i="1"/>
  <c r="N157" i="1" s="1"/>
  <c r="N156" i="1" s="1"/>
  <c r="E158" i="1"/>
  <c r="E101" i="1"/>
  <c r="E126" i="1" s="1"/>
  <c r="I158" i="1"/>
  <c r="I156" i="1" s="1"/>
  <c r="I160" i="1" s="1"/>
  <c r="I101" i="1"/>
  <c r="M158" i="1"/>
  <c r="M156" i="1" s="1"/>
  <c r="M101" i="1"/>
  <c r="M126" i="1" s="1"/>
  <c r="D131" i="1"/>
  <c r="I146" i="1"/>
  <c r="I145" i="1" s="1"/>
  <c r="O16" i="1"/>
  <c r="O36" i="1"/>
  <c r="O49" i="1"/>
  <c r="C8" i="1"/>
  <c r="G8" i="1"/>
  <c r="K8" i="1"/>
  <c r="K130" i="1" s="1"/>
  <c r="O12" i="1"/>
  <c r="G146" i="1"/>
  <c r="G145" i="1" s="1"/>
  <c r="K146" i="1"/>
  <c r="O18" i="1"/>
  <c r="O30" i="1"/>
  <c r="I53" i="1"/>
  <c r="I139" i="1" s="1"/>
  <c r="H8" i="1"/>
  <c r="H126" i="1" s="1"/>
  <c r="L8" i="1"/>
  <c r="O9" i="1"/>
  <c r="E11" i="1"/>
  <c r="I11" i="1"/>
  <c r="I126" i="1" s="1"/>
  <c r="M11" i="1"/>
  <c r="F53" i="1"/>
  <c r="F139" i="1" s="1"/>
  <c r="J53" i="1"/>
  <c r="J139" i="1" s="1"/>
  <c r="N53" i="1"/>
  <c r="N139" i="1" s="1"/>
  <c r="O56" i="1"/>
  <c r="D137" i="1"/>
  <c r="D71" i="1"/>
  <c r="D130" i="1" s="1"/>
  <c r="D129" i="1" s="1"/>
  <c r="H71" i="1"/>
  <c r="H137" i="1"/>
  <c r="L137" i="1"/>
  <c r="L71" i="1"/>
  <c r="L126" i="1" s="1"/>
  <c r="C74" i="1"/>
  <c r="O74" i="1" s="1"/>
  <c r="G74" i="1"/>
  <c r="K153" i="1"/>
  <c r="E104" i="1"/>
  <c r="N104" i="1"/>
  <c r="O67" i="1"/>
  <c r="I153" i="1"/>
  <c r="M153" i="1"/>
  <c r="C158" i="1"/>
  <c r="O158" i="1" s="1"/>
  <c r="G158" i="1"/>
  <c r="G156" i="1" s="1"/>
  <c r="O72" i="1"/>
  <c r="O102" i="1"/>
  <c r="O124" i="1"/>
  <c r="D160" i="1" l="1"/>
  <c r="M129" i="1"/>
  <c r="M160" i="1" s="1"/>
  <c r="C130" i="1"/>
  <c r="O8" i="1"/>
  <c r="C156" i="1"/>
  <c r="O157" i="1"/>
  <c r="F126" i="1"/>
  <c r="N129" i="1"/>
  <c r="E160" i="1"/>
  <c r="K126" i="1"/>
  <c r="C150" i="1"/>
  <c r="O58" i="1"/>
  <c r="F129" i="1"/>
  <c r="O53" i="1"/>
  <c r="C126" i="1"/>
  <c r="N160" i="1"/>
  <c r="C153" i="1"/>
  <c r="O84" i="1"/>
  <c r="N126" i="1"/>
  <c r="O139" i="1"/>
  <c r="O101" i="1"/>
  <c r="O126" i="1" s="1"/>
  <c r="H130" i="1"/>
  <c r="H129" i="1" s="1"/>
  <c r="H160" i="1" s="1"/>
  <c r="F160" i="1"/>
  <c r="M145" i="1"/>
  <c r="C151" i="1"/>
  <c r="C145" i="1" s="1"/>
  <c r="O145" i="1" s="1"/>
  <c r="O50" i="1"/>
  <c r="L130" i="1"/>
  <c r="L129" i="1" s="1"/>
  <c r="L160" i="1" s="1"/>
  <c r="D126" i="1"/>
  <c r="K145" i="1"/>
  <c r="K129" i="1" s="1"/>
  <c r="K160" i="1" s="1"/>
  <c r="G130" i="1"/>
  <c r="G129" i="1" s="1"/>
  <c r="G160" i="1" s="1"/>
  <c r="J160" i="1"/>
  <c r="O88" i="1"/>
  <c r="O71" i="1"/>
  <c r="C154" i="1"/>
  <c r="O80" i="1"/>
  <c r="O11" i="1"/>
  <c r="J126" i="1"/>
  <c r="O156" i="1" l="1"/>
  <c r="O130" i="1"/>
  <c r="C129" i="1"/>
  <c r="O129" i="1" s="1"/>
  <c r="O160" i="1" l="1"/>
  <c r="C1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85" authorId="0" shapeId="0" xr:uid="{0785D840-6AB4-4BDA-A7DB-BF2BD220E0A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$59,167.35 diferencia por comision del estado por cobrar infracciones</t>
        </r>
      </text>
    </comment>
    <comment ref="H110" authorId="0" shapeId="0" xr:uid="{2C853162-283F-42FC-A5D3-E81F3EEE741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recurso barrios de paz   $ 548,000
recurso fondo jalisco de animacion cultura $80,000 programa cine intinerante</t>
        </r>
      </text>
    </comment>
    <comment ref="J110" authorId="0" shapeId="0" xr:uid="{D2099084-0B44-42EB-9A8B-5FD21AA5070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Ingreso del fondo para talleres artisticos</t>
        </r>
      </text>
    </comment>
    <comment ref="L110" authorId="0" shapeId="0" xr:uid="{1B386746-0087-4124-B616-87CAFE2FC13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INGRESO DEL 10% DE COMISION NACIONAL FORESTAL.</t>
        </r>
      </text>
    </comment>
    <comment ref="D130" authorId="0" shapeId="0" xr:uid="{D903FE45-474D-44C8-BE87-D42648FCCBA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Depositaron 60 pesos de mas en la cuenta total del departamento de catastro por error</t>
        </r>
      </text>
    </comment>
  </commentList>
</comments>
</file>

<file path=xl/sharedStrings.xml><?xml version="1.0" encoding="utf-8"?>
<sst xmlns="http://schemas.openxmlformats.org/spreadsheetml/2006/main" count="308" uniqueCount="280">
  <si>
    <t>MUNICIPIO DE TECALITLAN, JALISCO</t>
  </si>
  <si>
    <t>CONCENTRADO DE INGRESOS 2024</t>
  </si>
  <si>
    <t>CLAVE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</si>
  <si>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</si>
  <si>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</si>
  <si>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</si>
  <si>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</si>
  <si>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</si>
  <si>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</si>
  <si>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</si>
  <si>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</si>
  <si>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</si>
  <si>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</si>
  <si>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</si>
  <si>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</si>
  <si>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</si>
  <si>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</si>
  <si>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4111-100-000</t>
  </si>
  <si>
    <t>Impuestos sobre espectáculos públicos</t>
  </si>
  <si>
    <t>4111-101-000</t>
  </si>
  <si>
    <t>Funciones de circo y espectáculos de carpa</t>
  </si>
  <si>
    <t>4111-104-000</t>
  </si>
  <si>
    <t>Eventos y espectáculos deportivos</t>
  </si>
  <si>
    <t>4111-107-000</t>
  </si>
  <si>
    <t>Otros espectáculos públicos</t>
  </si>
  <si>
    <t>4112-100-000</t>
  </si>
  <si>
    <t>Impuesto predial</t>
  </si>
  <si>
    <t>4112-101-000</t>
  </si>
  <si>
    <t>Predios rústicos</t>
  </si>
  <si>
    <t>4112-102-000</t>
  </si>
  <si>
    <t>Predios urbanos</t>
  </si>
  <si>
    <t>4112-200-000</t>
  </si>
  <si>
    <t>Impuesto sobre transmisiones patrimoniales</t>
  </si>
  <si>
    <t>4112-201-000</t>
  </si>
  <si>
    <t>Adquisición de departamentos, viviendas y casas pa</t>
  </si>
  <si>
    <t>4112-202-000</t>
  </si>
  <si>
    <t>Regularizacion de terrenos</t>
  </si>
  <si>
    <t>4112-300-000</t>
  </si>
  <si>
    <t>Impuestos sobre negocios jurídicos</t>
  </si>
  <si>
    <t>4112-301-000</t>
  </si>
  <si>
    <t>Construcción de inmuebles</t>
  </si>
  <si>
    <t>4117-100-000</t>
  </si>
  <si>
    <t>Recargos</t>
  </si>
  <si>
    <t>4117-101-000</t>
  </si>
  <si>
    <t>Falta de pago</t>
  </si>
  <si>
    <t>4117-300-000</t>
  </si>
  <si>
    <t>Multas</t>
  </si>
  <si>
    <t>4117-301-000</t>
  </si>
  <si>
    <t>Infracciones</t>
  </si>
  <si>
    <t>4117-400-000</t>
  </si>
  <si>
    <t>Gastos de Ejucucion y Embargo</t>
  </si>
  <si>
    <t>4117-401-000</t>
  </si>
  <si>
    <t>Gastos de Notificacion</t>
  </si>
  <si>
    <t>4119-100-000</t>
  </si>
  <si>
    <t>Impuestos extraordinarios</t>
  </si>
  <si>
    <t>4119-101-000</t>
  </si>
  <si>
    <t>4131-100-000</t>
  </si>
  <si>
    <t>Contribuciones de mejoras</t>
  </si>
  <si>
    <t>4131-101-000</t>
  </si>
  <si>
    <t>Contribuciones de mejoras por obras públicas</t>
  </si>
  <si>
    <t>4141-100-000</t>
  </si>
  <si>
    <t>Uso del piso</t>
  </si>
  <si>
    <t>4141-101-000</t>
  </si>
  <si>
    <t>Estacionamientos exclusivos</t>
  </si>
  <si>
    <t>4141-102-000</t>
  </si>
  <si>
    <t>Puestos permanentes y eventuales</t>
  </si>
  <si>
    <t>4141-300-000</t>
  </si>
  <si>
    <t>De los cementerios de dominiio público</t>
  </si>
  <si>
    <t>4141-301-000</t>
  </si>
  <si>
    <t>Lotes uso perpetuidad y temporal</t>
  </si>
  <si>
    <t>4141-303-000</t>
  </si>
  <si>
    <t>Venta de gavetas a perpetuidad</t>
  </si>
  <si>
    <t>4141-400-000</t>
  </si>
  <si>
    <t>Uso, goce, aprovechamiento o exp. de otros bienes</t>
  </si>
  <si>
    <t>4141-401-000</t>
  </si>
  <si>
    <t>Arrendamiento o concesión de locales en mercados</t>
  </si>
  <si>
    <t>4141-403-000</t>
  </si>
  <si>
    <t>Arrendamiento o concesión de escusados y baños</t>
  </si>
  <si>
    <t>4141-409-000</t>
  </si>
  <si>
    <t>Otros arrendamientos o concesiones de bienes</t>
  </si>
  <si>
    <t>4143-010-000</t>
  </si>
  <si>
    <t>Licencias y permisos de giros</t>
  </si>
  <si>
    <t>4143-011-000</t>
  </si>
  <si>
    <t>Giros con venta de bebidas alcohólicas</t>
  </si>
  <si>
    <t>4143-011-100</t>
  </si>
  <si>
    <t>Giros con servicios de bebidas alcohólicas</t>
  </si>
  <si>
    <t>4143-011-200</t>
  </si>
  <si>
    <t>Otros conceptos distintos a los anteriores</t>
  </si>
  <si>
    <t>4143-020-000</t>
  </si>
  <si>
    <t>Licencias y permisos para anuncios</t>
  </si>
  <si>
    <t>4143-022-000</t>
  </si>
  <si>
    <t>Licencias y permisos de anuncios permanentes</t>
  </si>
  <si>
    <t>4143-022-100</t>
  </si>
  <si>
    <t>Licencias y permisos de anuncios eventuales</t>
  </si>
  <si>
    <t>4143-030-000</t>
  </si>
  <si>
    <t>Licencias de construcción, reconstrucción, reparac</t>
  </si>
  <si>
    <t>4143-033-000</t>
  </si>
  <si>
    <t>Licencias de construcción</t>
  </si>
  <si>
    <t>4143-033-100</t>
  </si>
  <si>
    <t>Licencias para demolicion</t>
  </si>
  <si>
    <t>4143-033-600</t>
  </si>
  <si>
    <t>Licencias de sub-divicion de terrenos o propiedades</t>
  </si>
  <si>
    <t>4143-040-000</t>
  </si>
  <si>
    <t>Alineamiento, designación de número oficial e insp</t>
  </si>
  <si>
    <t>4143-044-000</t>
  </si>
  <si>
    <t>Alineamiento</t>
  </si>
  <si>
    <t>4143-044-100</t>
  </si>
  <si>
    <t>Designación de número oficial</t>
  </si>
  <si>
    <t>4143-070-000</t>
  </si>
  <si>
    <t>Servicios de sanidad</t>
  </si>
  <si>
    <t>4143-077-000</t>
  </si>
  <si>
    <t>Inhumaciones y reinhumaciones</t>
  </si>
  <si>
    <t>4143-077-100</t>
  </si>
  <si>
    <t>exhumaciones</t>
  </si>
  <si>
    <t>4143-090-000</t>
  </si>
  <si>
    <t>Agua potable y alcantarillado</t>
  </si>
  <si>
    <t>4143-099-000</t>
  </si>
  <si>
    <t>Servicio doméstico</t>
  </si>
  <si>
    <t>4143-099-400</t>
  </si>
  <si>
    <t>'20% para el saneamiento de las aguas residuales</t>
  </si>
  <si>
    <t>4143-099-500</t>
  </si>
  <si>
    <t>'2% o 3% para la infraestructura básica existente</t>
  </si>
  <si>
    <t>4143-099-700</t>
  </si>
  <si>
    <t>conexión o reconexión al servicio</t>
  </si>
  <si>
    <t>4143-100-000</t>
  </si>
  <si>
    <t>Rastro</t>
  </si>
  <si>
    <t>4143-101-000</t>
  </si>
  <si>
    <t>Autorización de matanza</t>
  </si>
  <si>
    <t>4143-103-000</t>
  </si>
  <si>
    <t>Autorización de la introducción de ganado al rastr</t>
  </si>
  <si>
    <t>4143-105-000</t>
  </si>
  <si>
    <t>Acarreo de carnes en camiones del municipio</t>
  </si>
  <si>
    <t>4143-200-000</t>
  </si>
  <si>
    <t>Registro civil</t>
  </si>
  <si>
    <t>4143-201-000</t>
  </si>
  <si>
    <t xml:space="preserve">Servicios en oficina </t>
  </si>
  <si>
    <t>4143-202-000</t>
  </si>
  <si>
    <t>Servicios a domicilio</t>
  </si>
  <si>
    <t>4143-203-000</t>
  </si>
  <si>
    <t>Anotaciones e inserciones en actas</t>
  </si>
  <si>
    <t>4143-300-000</t>
  </si>
  <si>
    <t>Certificaciones</t>
  </si>
  <si>
    <t>4143-301-000</t>
  </si>
  <si>
    <t>Expedición de certificados, constancias o copias c</t>
  </si>
  <si>
    <t>4143-302-000</t>
  </si>
  <si>
    <t>Extractos de actas</t>
  </si>
  <si>
    <t>4144-000-000</t>
  </si>
  <si>
    <t>Otros derechos</t>
  </si>
  <si>
    <t>4144-109-000</t>
  </si>
  <si>
    <t>Otros servicios no especificados</t>
  </si>
  <si>
    <t>4143-400-000</t>
  </si>
  <si>
    <t>Servicios de catastro</t>
  </si>
  <si>
    <t>4143-402-000</t>
  </si>
  <si>
    <t>Certificaciones catastrales</t>
  </si>
  <si>
    <t>4143-406-000</t>
  </si>
  <si>
    <t>Revisión y autorización de avalúos</t>
  </si>
  <si>
    <t>4145-100-000</t>
  </si>
  <si>
    <t>4145-101-000</t>
  </si>
  <si>
    <t>Falta de pago Tesoreria</t>
  </si>
  <si>
    <t>4145-101-001</t>
  </si>
  <si>
    <t>Falta de pago Agua</t>
  </si>
  <si>
    <t>4145-300-000</t>
  </si>
  <si>
    <t>4145-301-000</t>
  </si>
  <si>
    <t>Infracciones Tesoreria</t>
  </si>
  <si>
    <t>4145-301-001</t>
  </si>
  <si>
    <t>Infracciones Agua</t>
  </si>
  <si>
    <t>4151-900-000</t>
  </si>
  <si>
    <t>Productos diversos</t>
  </si>
  <si>
    <t>4151-909-000</t>
  </si>
  <si>
    <t>Otros productos no especificados</t>
  </si>
  <si>
    <t>4262-100-000</t>
  </si>
  <si>
    <t>Por el uso o enajenacion de bienes</t>
  </si>
  <si>
    <t>4262-101-000</t>
  </si>
  <si>
    <t>4163-300-000</t>
  </si>
  <si>
    <t>4163-301-000</t>
  </si>
  <si>
    <t>4163-900-000</t>
  </si>
  <si>
    <t>Otros aprovechamientos</t>
  </si>
  <si>
    <t>4163-909-000</t>
  </si>
  <si>
    <t>Otros no especificados</t>
  </si>
  <si>
    <t>4211-100-000</t>
  </si>
  <si>
    <t>Participaciones</t>
  </si>
  <si>
    <t>4211-101-000</t>
  </si>
  <si>
    <t>Fondo general de participacion (federal)</t>
  </si>
  <si>
    <t>4211-102-000</t>
  </si>
  <si>
    <t>Fondo de fomento municipal (federal)</t>
  </si>
  <si>
    <t>4211-103-000</t>
  </si>
  <si>
    <t>Fondo de fiscalizacion y recaudacion (federal)</t>
  </si>
  <si>
    <t>4211-104-000</t>
  </si>
  <si>
    <t>Fondo de compensacion (federal)</t>
  </si>
  <si>
    <t>4211-105-000</t>
  </si>
  <si>
    <t>Fondo de extraccion de hidrocarburos (federal)</t>
  </si>
  <si>
    <t>4211-106-000</t>
  </si>
  <si>
    <t>Impuesto especial sobre produccion y servicios (federal)</t>
  </si>
  <si>
    <t>4211-107-000</t>
  </si>
  <si>
    <t>0.136% de la recaudacion federal participable (federal)</t>
  </si>
  <si>
    <t>4211-108-000</t>
  </si>
  <si>
    <t>3.17% sobre extraccion de petroleo (federal)</t>
  </si>
  <si>
    <t>4211-109-000</t>
  </si>
  <si>
    <t>Gasolinas y diesel (federal)</t>
  </si>
  <si>
    <t>4211-110-000</t>
  </si>
  <si>
    <t>Fondo de impuesto sobre la renta (federal)</t>
  </si>
  <si>
    <t>4211-111-000</t>
  </si>
  <si>
    <t>Fondo de estabilizacion ingresos de las entidades federativas (federal)</t>
  </si>
  <si>
    <t>4211-112-000</t>
  </si>
  <si>
    <t>Participaciones del estado</t>
  </si>
  <si>
    <t>4212-100-000</t>
  </si>
  <si>
    <t>Aportaciones federales</t>
  </si>
  <si>
    <t>4212-101-000</t>
  </si>
  <si>
    <t>Del fondo de infraestructura social municipal</t>
  </si>
  <si>
    <t>4212-102-000</t>
  </si>
  <si>
    <t>Del fondo para el fortalecimiento municipal</t>
  </si>
  <si>
    <t>4213-100-000</t>
  </si>
  <si>
    <t>Convenios</t>
  </si>
  <si>
    <t>4213-101-000</t>
  </si>
  <si>
    <t>Convenios de proteccion social en salud</t>
  </si>
  <si>
    <t>4213-102-000</t>
  </si>
  <si>
    <t>Convenios de descentralizados</t>
  </si>
  <si>
    <t>4213-103-000</t>
  </si>
  <si>
    <t>Convenios de reasignacion</t>
  </si>
  <si>
    <t>4213-104-000</t>
  </si>
  <si>
    <t>Otros convenios y subsidios (con ingresos de libre disposicion)</t>
  </si>
  <si>
    <t>4213-105-000</t>
  </si>
  <si>
    <t>Otros convenios y subsidios (con ingresos etiquetados federales)</t>
  </si>
  <si>
    <t>4213-106-000</t>
  </si>
  <si>
    <t>Otros convenios y subsidios (con ingresos etiquetados estatales)</t>
  </si>
  <si>
    <t>4214-000-000</t>
  </si>
  <si>
    <t>Incentivos derivados de la colaboracion fiscal</t>
  </si>
  <si>
    <t>4214-100-000</t>
  </si>
  <si>
    <t>4214-101-000</t>
  </si>
  <si>
    <t>Tenencia o uso de vehiculos</t>
  </si>
  <si>
    <t>4214-102-000</t>
  </si>
  <si>
    <t>Fondo de conpensacion ISAN</t>
  </si>
  <si>
    <t>4214-103-000</t>
  </si>
  <si>
    <t>Impuesto sobre automoviles nuevos</t>
  </si>
  <si>
    <t>4214-104-000</t>
  </si>
  <si>
    <t>Fondo de compensacion de repecos-intermedios</t>
  </si>
  <si>
    <t>4214-105-000</t>
  </si>
  <si>
    <t>Otros incentivos economicos</t>
  </si>
  <si>
    <t>4215-000-000</t>
  </si>
  <si>
    <t>Fondos distintos de aportaciones</t>
  </si>
  <si>
    <t>4215-100-000</t>
  </si>
  <si>
    <t>4215-101-000</t>
  </si>
  <si>
    <t>Fondo para entidades federativas y municipios productores de hidrocarburos</t>
  </si>
  <si>
    <t>4215-102-000</t>
  </si>
  <si>
    <t>Fondo minero</t>
  </si>
  <si>
    <t>4223-100-000</t>
  </si>
  <si>
    <t>Subsidio</t>
  </si>
  <si>
    <t>4223-101-000</t>
  </si>
  <si>
    <t>4310-100-000</t>
  </si>
  <si>
    <t>Ingresos financieros</t>
  </si>
  <si>
    <t>4310-101-000</t>
  </si>
  <si>
    <t>TOTAL</t>
  </si>
  <si>
    <t>CLASIFICADOR DE INGRESOS</t>
  </si>
  <si>
    <t>INGRESOS PROPIOS</t>
  </si>
  <si>
    <t>CATASTRO</t>
  </si>
  <si>
    <t>Predios Rusticos</t>
  </si>
  <si>
    <t>Predios Urbanos</t>
  </si>
  <si>
    <t>Transmiciones Patrimoniales (adquision de departamentos y viviendas)</t>
  </si>
  <si>
    <t>Gastos de notifiacion</t>
  </si>
  <si>
    <t>Certificaciones Catastrales</t>
  </si>
  <si>
    <t>Revicion y Autorizacion de Avaluos</t>
  </si>
  <si>
    <t>AGUA POTABLE Y ALCANTARILLADO</t>
  </si>
  <si>
    <t>Servicio Domestico</t>
  </si>
  <si>
    <t>20% para el Saneamiento</t>
  </si>
  <si>
    <t>3% para la infraestructura</t>
  </si>
  <si>
    <t>TESORERIA</t>
  </si>
  <si>
    <t>Obras Publicas</t>
  </si>
  <si>
    <t>Piso y Plaza</t>
  </si>
  <si>
    <t>Cementerios</t>
  </si>
  <si>
    <t>Padron y Licencias</t>
  </si>
  <si>
    <t>Rastro Mpal.</t>
  </si>
  <si>
    <t>Registro Civil</t>
  </si>
  <si>
    <t>Secretaria (certificaciones y expedicion de constancias)</t>
  </si>
  <si>
    <t>Aprovechamientos (multas y recargos)</t>
  </si>
  <si>
    <t>Productos Diversos</t>
  </si>
  <si>
    <t>Ingresos Financieros</t>
  </si>
  <si>
    <t>INGRESOS FEDERALES Y ESTATALES</t>
  </si>
  <si>
    <t>PARTICIPACIONES</t>
  </si>
  <si>
    <t>APORTACIONES</t>
  </si>
  <si>
    <t>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</si>
</sst>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left" vertical="top"/>
    </xf>
    <xf numFmtId="49" fontId="4" fillId="3" borderId="3" xfId="0" applyNumberFormat="1" applyFont="1" applyFill="1" applyBorder="1" applyAlignment="1">
      <alignment horizontal="left" vertical="top"/>
    </xf>
    <xf numFmtId="164" fontId="2" fillId="3" borderId="0" xfId="0" applyNumberFormat="1" applyFont="1" applyFill="1" applyAlignment="1">
      <alignment horizontal="center"/>
    </xf>
    <xf numFmtId="164" fontId="2" fillId="4" borderId="0" xfId="0" applyNumberFormat="1" applyFont="1" applyFill="1"/>
    <xf numFmtId="49" fontId="5" fillId="5" borderId="4" xfId="0" applyNumberFormat="1" applyFont="1" applyFill="1" applyBorder="1" applyAlignment="1">
      <alignment horizontal="left" vertical="top"/>
    </xf>
    <xf numFmtId="49" fontId="5" fillId="5" borderId="5" xfId="0" applyNumberFormat="1" applyFont="1" applyFill="1" applyBorder="1" applyAlignment="1">
      <alignment horizontal="left" vertical="top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49" fontId="4" fillId="3" borderId="4" xfId="0" applyNumberFormat="1" applyFont="1" applyFill="1" applyBorder="1" applyAlignment="1">
      <alignment horizontal="left" vertical="top"/>
    </xf>
    <xf numFmtId="49" fontId="4" fillId="3" borderId="5" xfId="0" applyNumberFormat="1" applyFont="1" applyFill="1" applyBorder="1" applyAlignment="1">
      <alignment horizontal="left" vertical="top"/>
    </xf>
    <xf numFmtId="49" fontId="5" fillId="3" borderId="4" xfId="0" applyNumberFormat="1" applyFont="1" applyFill="1" applyBorder="1" applyAlignment="1">
      <alignment horizontal="left" vertical="top"/>
    </xf>
    <xf numFmtId="49" fontId="6" fillId="5" borderId="4" xfId="0" applyNumberFormat="1" applyFont="1" applyFill="1" applyBorder="1" applyAlignment="1">
      <alignment horizontal="left" vertical="top"/>
    </xf>
    <xf numFmtId="49" fontId="6" fillId="5" borderId="5" xfId="0" applyNumberFormat="1" applyFont="1" applyFill="1" applyBorder="1" applyAlignment="1">
      <alignment horizontal="left" vertical="top"/>
    </xf>
    <xf numFmtId="49" fontId="7" fillId="3" borderId="4" xfId="0" applyNumberFormat="1" applyFont="1" applyFill="1" applyBorder="1" applyAlignment="1">
      <alignment horizontal="left" vertical="top"/>
    </xf>
    <xf numFmtId="49" fontId="7" fillId="3" borderId="5" xfId="0" applyNumberFormat="1" applyFont="1" applyFill="1" applyBorder="1" applyAlignment="1">
      <alignment horizontal="left" vertical="top"/>
    </xf>
    <xf numFmtId="49" fontId="5" fillId="0" borderId="6" xfId="0" applyNumberFormat="1" applyFont="1" applyBorder="1" applyAlignment="1">
      <alignment horizontal="left" vertical="top"/>
    </xf>
    <xf numFmtId="49" fontId="5" fillId="0" borderId="7" xfId="0" applyNumberFormat="1" applyFont="1" applyBorder="1" applyAlignment="1">
      <alignment horizontal="left" vertical="top"/>
    </xf>
    <xf numFmtId="49" fontId="5" fillId="0" borderId="0" xfId="1" applyNumberFormat="1" applyFont="1" applyAlignment="1">
      <alignment horizontal="left" vertical="top"/>
    </xf>
    <xf numFmtId="49" fontId="5" fillId="0" borderId="8" xfId="1" applyNumberFormat="1" applyFont="1" applyBorder="1" applyAlignment="1">
      <alignment horizontal="left" vertical="top"/>
    </xf>
    <xf numFmtId="49" fontId="5" fillId="0" borderId="9" xfId="1" applyNumberFormat="1" applyFont="1" applyBorder="1" applyAlignment="1">
      <alignment horizontal="left" vertical="top"/>
    </xf>
    <xf numFmtId="49" fontId="4" fillId="3" borderId="10" xfId="0" applyNumberFormat="1" applyFont="1" applyFill="1" applyBorder="1" applyAlignment="1">
      <alignment horizontal="left" vertical="top"/>
    </xf>
    <xf numFmtId="49" fontId="4" fillId="3" borderId="7" xfId="0" applyNumberFormat="1" applyFont="1" applyFill="1" applyBorder="1" applyAlignment="1">
      <alignment horizontal="left" vertical="top"/>
    </xf>
    <xf numFmtId="164" fontId="2" fillId="6" borderId="13" xfId="0" applyNumberFormat="1" applyFont="1" applyFill="1" applyBorder="1" applyAlignment="1">
      <alignment horizontal="center"/>
    </xf>
    <xf numFmtId="164" fontId="11" fillId="7" borderId="13" xfId="0" applyNumberFormat="1" applyFont="1" applyFill="1" applyBorder="1"/>
    <xf numFmtId="0" fontId="0" fillId="0" borderId="14" xfId="0" applyBorder="1"/>
    <xf numFmtId="0" fontId="11" fillId="8" borderId="15" xfId="0" applyFont="1" applyFill="1" applyBorder="1"/>
    <xf numFmtId="0" fontId="10" fillId="8" borderId="15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164" fontId="1" fillId="9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center"/>
    </xf>
    <xf numFmtId="164" fontId="2" fillId="8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3" fontId="0" fillId="0" borderId="0" xfId="0" applyNumberFormat="1"/>
    <xf numFmtId="0" fontId="11" fillId="8" borderId="0" xfId="0" applyFont="1" applyFill="1" applyAlignment="1">
      <alignment horizontal="right"/>
    </xf>
    <xf numFmtId="164" fontId="10" fillId="8" borderId="0" xfId="0" applyNumberFormat="1" applyFont="1" applyFill="1" applyAlignment="1">
      <alignment horizontal="center"/>
    </xf>
    <xf numFmtId="164" fontId="12" fillId="9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49" fontId="9" fillId="5" borderId="11" xfId="0" applyNumberFormat="1" applyFont="1" applyFill="1" applyBorder="1" applyAlignment="1">
      <alignment horizontal="right" vertical="top" wrapText="1"/>
    </xf>
    <xf numFmtId="0" fontId="10" fillId="0" borderId="12" xfId="0" applyFont="1" applyBorder="1" applyAlignment="1">
      <alignment wrapText="1"/>
    </xf>
  </cellXfs>
  <cellStyles count="2">
    <cellStyle name="Normal" xfId="0" builtinId="0"/>
    <cellStyle name="Normal 2" xfId="1" xr:uid="{5AC80B11-9A29-4CF9-9724-F1D660B66E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CONCENTRADO DE INGRESOS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'Concentrado Ingresos 2024'!$B$129</c:f>
              <c:strCache>
                <c:ptCount val="1"/>
                <c:pt idx="0">
                  <c:v>INGRESOS PROPIOS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'Concentrado Ingresos 2024'!$C$128:$N$128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'Concentrado Ingresos 2024'!$C$129:$N$129</c:f>
              <c:numCache>
                <c:formatCode>"$"#,##0.00</c:formatCode>
                <c:ptCount val="12"/>
                <c:pt idx="0">
                  <c:v>9552308.9200000018</c:v>
                </c:pt>
                <c:pt idx="1">
                  <c:v>4038014.99</c:v>
                </c:pt>
                <c:pt idx="2">
                  <c:v>1878125.5</c:v>
                </c:pt>
                <c:pt idx="3">
                  <c:v>766438.14</c:v>
                </c:pt>
                <c:pt idx="4">
                  <c:v>880053.74</c:v>
                </c:pt>
                <c:pt idx="5">
                  <c:v>1420934.3399999999</c:v>
                </c:pt>
                <c:pt idx="6">
                  <c:v>1752673.3</c:v>
                </c:pt>
                <c:pt idx="7">
                  <c:v>2093577.1899999997</c:v>
                </c:pt>
                <c:pt idx="8">
                  <c:v>1497472.0099999998</c:v>
                </c:pt>
                <c:pt idx="9">
                  <c:v>2181693.0300000003</c:v>
                </c:pt>
                <c:pt idx="10">
                  <c:v>1493641.29</c:v>
                </c:pt>
                <c:pt idx="11">
                  <c:v>1712055.1999999997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2-49AA-B582-BFCF12FDB1FE}"/>
            </c:ext>
          </c:extLst>
        </c:ser>
        <c:ser>
          <c:idx val="1"/>
          <c:order val="1"/>
          <c:tx>
            <c:strRef>
              <c:f>'Concentrado Ingresos 2024'!$B$156</c:f>
              <c:strCache>
                <c:ptCount val="1"/>
                <c:pt idx="0">
                  <c:v>INGRESOS FEDERALES Y ESTATALES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'Concentrado Ingresos 2024'!$C$128:$N$128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'Concentrado Ingresos 2024'!$C$156:$N$156</c:f>
              <c:numCache>
                <c:formatCode>"$"#,##0.00</c:formatCode>
                <c:ptCount val="12"/>
                <c:pt idx="0">
                  <c:v>9145481.1199999992</c:v>
                </c:pt>
                <c:pt idx="1">
                  <c:v>12741153.879999999</c:v>
                </c:pt>
                <c:pt idx="2">
                  <c:v>14730021.119999997</c:v>
                </c:pt>
                <c:pt idx="3">
                  <c:v>9903553.3999999985</c:v>
                </c:pt>
                <c:pt idx="4">
                  <c:v>11376994.189999998</c:v>
                </c:pt>
                <c:pt idx="5">
                  <c:v>14878097.010000002</c:v>
                </c:pt>
                <c:pt idx="6">
                  <c:v>13792558.960000001</c:v>
                </c:pt>
                <c:pt idx="7">
                  <c:v>10944106.43</c:v>
                </c:pt>
                <c:pt idx="8">
                  <c:v>11210305.619999997</c:v>
                </c:pt>
                <c:pt idx="9">
                  <c:v>10819951.830000002</c:v>
                </c:pt>
                <c:pt idx="10">
                  <c:v>6481388.3699999992</c:v>
                </c:pt>
                <c:pt idx="11">
                  <c:v>7983853.8499999996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B2-49AA-B582-BFCF12FDB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76784704"/>
        <c:axId val="376784376"/>
        <c:axId val="0"/>
      </c:bar3DChart>
      <c:catAx>
        <c:axId val="37678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6784376"/>
        <c:crosses val="autoZero"/>
        <c:auto val="1"/>
        <c:lblAlgn val="ctr"/>
        <c:lblOffset val="100"/>
        <c:noMultiLvlLbl val="0"/>
      </c:catAx>
      <c:valAx>
        <c:axId val="37678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678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2201332</xdr:colOff>
      <xdr:row>162</xdr:row>
      <xdr:rowOff>99482</xdr:rowOff>
    </xdr:from>
    <xdr:to>
      <xdr:col>11</xdr:col>
      <xdr:colOff>243416</xdr:colOff>
      <xdr:row>184</xdr:row>
      <xdr:rowOff>127000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934A6F-E676-408F-9059-70C1173AC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E9EC-B450-4D7F-9AAC-02A99EF06FF7}">
  <sheetPr>
    <pageSetUpPr fitToPage="1"/>
  </sheetPr>
  <dimension ref="A1:O167"/>
  <sheetViews>
    <sheetView tabSelected="1" zoomScale="75" zoomScaleNormal="75" workbookViewId="0">
      <pane ySplit="3" topLeftCell="A91" activePane="bottomLeft" state="frozen"/>
      <selection pane="bottomLeft" activeCell="B11" sqref="B11"/>
    </sheetView>
  </sheetViews>
  <sheetFormatPr baseColWidth="10" defaultRowHeight="14.4" x14ac:dyDescent="0.3"/>
  <cols>
    <col min="1" max="1" width="13.109375" style="26" customWidth="1"/>
    <col min="2" max="2" width="59.44140625" customWidth="1"/>
    <col min="3" max="5" width="16.5546875" customWidth="1"/>
    <col min="6" max="6" width="16.6640625" customWidth="1"/>
    <col min="7" max="7" width="16.5546875" customWidth="1"/>
    <col min="8" max="8" width="17.33203125" customWidth="1"/>
    <col min="9" max="9" width="17.5546875" customWidth="1"/>
    <col min="10" max="10" width="16.5546875" customWidth="1"/>
    <col min="11" max="11" width="16.33203125" customWidth="1"/>
    <col min="12" max="12" width="16.44140625" customWidth="1"/>
    <col min="13" max="13" width="15" customWidth="1"/>
    <col min="14" max="14" width="17" customWidth="1"/>
    <col min="15" max="15" width="23.5546875" customWidth="1"/>
  </cols>
  <sheetData>
    <row r="1" spans="1:15" ht="23.25" customHeight="1" x14ac:dyDescent="0.4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ht="19.8" x14ac:dyDescent="0.4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</row>
    <row r="4" spans="1:15" ht="17.100000000000001" customHeight="1" x14ac:dyDescent="0.3">
      <c r="A4" s="2" t="s">
        <v>17</v>
      </c>
      <c r="B4" s="3" t="s">
        <v>18</v>
      </c>
      <c r="C4" s="4">
        <f>SUM(C5:C7)</f>
        <v>0</v>
      </c>
      <c r="D4" s="4">
        <f t="shared" ref="D4:N4" si="0">SUM(D5:D7)</f>
        <v>0</v>
      </c>
      <c r="E4" s="4">
        <f t="shared" si="0"/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  <c r="I4" s="4">
        <f t="shared" si="0"/>
        <v>0</v>
      </c>
      <c r="J4" s="4">
        <f t="shared" si="0"/>
        <v>0</v>
      </c>
      <c r="K4" s="4">
        <f t="shared" si="0"/>
        <v>0</v>
      </c>
      <c r="L4" s="4">
        <f t="shared" si="0"/>
        <v>0</v>
      </c>
      <c r="M4" s="4">
        <f t="shared" si="0"/>
        <v>0</v>
      </c>
      <c r="N4" s="4">
        <f t="shared" si="0"/>
        <v>0</v>
      </c>
      <c r="O4" s="5">
        <f>SUM(C4:N4)</f>
        <v>0</v>
      </c>
    </row>
    <row r="5" spans="1:15" ht="17.100000000000001" customHeight="1" x14ac:dyDescent="0.3">
      <c r="A5" s="6" t="s">
        <v>19</v>
      </c>
      <c r="B5" s="7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>
        <f t="shared" ref="O5:O72" si="1">SUM(C5:N5)</f>
        <v>0</v>
      </c>
    </row>
    <row r="6" spans="1:15" ht="17.100000000000001" customHeight="1" x14ac:dyDescent="0.3">
      <c r="A6" s="6" t="s">
        <v>21</v>
      </c>
      <c r="B6" s="7" t="s">
        <v>22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>
        <f t="shared" si="1"/>
        <v>0</v>
      </c>
    </row>
    <row r="7" spans="1:15" ht="17.100000000000001" customHeight="1" x14ac:dyDescent="0.3">
      <c r="A7" s="6" t="s">
        <v>23</v>
      </c>
      <c r="B7" s="7" t="s">
        <v>24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>
        <f t="shared" si="1"/>
        <v>0</v>
      </c>
    </row>
    <row r="8" spans="1:15" ht="17.100000000000001" customHeight="1" x14ac:dyDescent="0.3">
      <c r="A8" s="10" t="s">
        <v>25</v>
      </c>
      <c r="B8" s="11" t="s">
        <v>26</v>
      </c>
      <c r="C8" s="4">
        <f>SUM(C9:C10)</f>
        <v>4256514.8900000006</v>
      </c>
      <c r="D8" s="4">
        <f t="shared" ref="D8:M8" si="2">SUM(D9:D10)</f>
        <v>1499971.8699999999</v>
      </c>
      <c r="E8" s="4">
        <f>SUM(E9:E10)</f>
        <v>467048.81000000006</v>
      </c>
      <c r="F8" s="4">
        <f>SUM(F9:F10)</f>
        <v>198333.07</v>
      </c>
      <c r="G8" s="4">
        <f t="shared" si="2"/>
        <v>156089.72</v>
      </c>
      <c r="H8" s="4">
        <f t="shared" si="2"/>
        <v>402754.33999999997</v>
      </c>
      <c r="I8" s="4">
        <f t="shared" si="2"/>
        <v>834113.12</v>
      </c>
      <c r="J8" s="4">
        <f>SUM(J9:J10)</f>
        <v>867318.07999999984</v>
      </c>
      <c r="K8" s="4">
        <f>SUM(K9:K10)</f>
        <v>598032.93999999994</v>
      </c>
      <c r="L8" s="4">
        <f t="shared" si="2"/>
        <v>919530.59999999986</v>
      </c>
      <c r="M8" s="4">
        <f t="shared" si="2"/>
        <v>644012.52</v>
      </c>
      <c r="N8" s="4">
        <f>SUM(N9:N10)</f>
        <v>842466.25</v>
      </c>
      <c r="O8" s="5">
        <f t="shared" si="1"/>
        <v>11686186.209999999</v>
      </c>
    </row>
    <row r="9" spans="1:15" ht="17.100000000000001" customHeight="1" x14ac:dyDescent="0.3">
      <c r="A9" s="6" t="s">
        <v>27</v>
      </c>
      <c r="B9" s="7" t="s">
        <v>28</v>
      </c>
      <c r="C9" s="8">
        <f>9312.26+9496.57+23944.15+46053.01+28245.71+38240.6+33498.07+24349.97+20768.58+45419.17+24566.4+23420.16+17614.67+42335.26+88202.95+52249.04+1343442.19+32939.6+44743.92+23174.39+20972.54</f>
        <v>1992989.21</v>
      </c>
      <c r="D9" s="8">
        <f>21124.6+3816.34+10058.74+49922.92+4184.59+8617.65+15379.38+7714.01+14305.62+5580.71+9825.93+34210.1+28097.58+102728.62+12984.82+56046.89+31466.87+7718.01+9509.19+23650.12</f>
        <v>456942.69</v>
      </c>
      <c r="E9" s="8">
        <f>37056.58+18289.31+19139.15+26703.52+17535.98+22072.92+470.34+4841.43+8919.76+3141.31+695.66+10020.58+4960.14+4409.41+7110.83</f>
        <v>185366.92</v>
      </c>
      <c r="F9" s="8">
        <f>1541.87+9049.48+2461.71+7198.09+10135.89+522.6+1780.06+1497.65+785.17+4283.64+6267.98+2543.98+27817.15</f>
        <v>75885.27</v>
      </c>
      <c r="G9" s="8">
        <f>5821.97+3025+4790.41+43959.49+4835.51</f>
        <v>62432.38</v>
      </c>
      <c r="H9" s="8">
        <f>2503.33+32515.63+42118.49+29136.39+36278.83+26661.79+19486.43+50153.32+33025.27+39280.26+36088.05</f>
        <v>347247.79</v>
      </c>
      <c r="I9" s="8">
        <f>39148.3+43444.1+42816.37+36164.94+39058.01+34755.52+25369.8+18908.39+14330.34+10655.95+7320.85+2411.78+8940.45+50657.95+14903.88+32417.02+15596.65+36924.42+28363.95+31401.26</f>
        <v>533589.93000000005</v>
      </c>
      <c r="J9" s="8">
        <f>1837.99+12651.38+47532.51+10975.29+8900.97+8098.76+48055.95+645.82+1140.4+50739.81+22822.5+2967.02+14424.89+2907.31+546+46597.25</f>
        <v>280843.84999999998</v>
      </c>
      <c r="K9" s="8">
        <f>1150.66+6551.33+39597.06+34629.53+14402.47+41653.96+23348.07+31350.77+33993.42+23690.45+38828.63+27927.31+20270.2+8855.47</f>
        <v>346249.32999999996</v>
      </c>
      <c r="L9" s="8">
        <f>24908.14+17603.53+4508.7+19585.06+57409.1+26241.84+36136.77+39679.89+39875.57+15608.45+31544.38+40282.57+43559.49+28974.33+24600.73+2658.88+23534.73</f>
        <v>476712.16</v>
      </c>
      <c r="M9" s="8">
        <f>2650.78+43692.67+19079.27+21181.65+23844.17+20988.31+27264.23+23178.54</f>
        <v>181879.62000000002</v>
      </c>
      <c r="N9" s="8">
        <f>1854.3+2095.1+8969.24+14651+26611.55+76163.78+49557.24+57383.69+46420.33+26147.52+36856.19+147189.21</f>
        <v>493899.15</v>
      </c>
      <c r="O9" s="9">
        <f t="shared" si="1"/>
        <v>5434038.3000000007</v>
      </c>
    </row>
    <row r="10" spans="1:15" ht="17.100000000000001" customHeight="1" x14ac:dyDescent="0.3">
      <c r="A10" s="6" t="s">
        <v>29</v>
      </c>
      <c r="B10" s="7" t="s">
        <v>30</v>
      </c>
      <c r="C10" s="8">
        <f>51928.42+156824.42+146888.75+141698.5+179251.1+144049.67+102352.35+104642.6+91922.43+104326.31+95558.67+89519.83+84808.77+104644.11+94048.43+117254.13+79645.11+84383.4+93132.06+96343.29+100303.33</f>
        <v>2263525.6800000002</v>
      </c>
      <c r="D10" s="8">
        <f>69710.63+45056.19+56784.71+65031.12+59765.32+46080.4+54217.11+26505.45+37499.21+38631.64+34406.32+43149.55+56788.11+56970.79+36647.08+60866.63+37498.26+77908.52+52901.58+86610.56</f>
        <v>1043029.1799999999</v>
      </c>
      <c r="E10" s="8">
        <f>59424.92+17808.09+24901.97+15357.54+13952.31+9328.79+15640.01+12725.84+2665.15+23918.25+14196.75+7136.99+11766.57+9608.98+9089.64+9183.75+9708.28+15268.06</f>
        <v>281681.89</v>
      </c>
      <c r="F10" s="8">
        <f>6763.1+5782.44+8684.65+7039.72+7167.77+1360.42+4985.41+11518.53+655.8+7546.39+7275.29+9227.3+4566.99+4029.87+4885.56+12316.96+4851.19+2737.99+11052.42</f>
        <v>122447.80000000002</v>
      </c>
      <c r="G10" s="8">
        <f>15026.91+27711.13+14071.56+19741.66+17106.08</f>
        <v>93657.34</v>
      </c>
      <c r="H10" s="8">
        <f>4880.16+5596.46+22460.46+3371.88+6161.76+3265.37+4805.6+3350.22+1614.64</f>
        <v>55506.55</v>
      </c>
      <c r="I10" s="8">
        <f>4573.88+1433.2+7434.39+805.88+792+983.1+4167.96+37014.18+18794.18+17448.18+22760.26+38835.81+21737.76+32213.74+29256.65+27928.34+1647.2+6937.82+2613.66+905.22+22239.78</f>
        <v>300523.18999999994</v>
      </c>
      <c r="J10" s="8">
        <f>32912.34+20798.1+3853.78+21772.8+21630.4+20880.54+35766.4+15078.77+23084.98+28985.99+34970.35+48368.9+4984.29+7359.82+30896.69+35488.81+56863.48+27659.7+49886.16+31393.19+8246.48+25592.26</f>
        <v>586474.22999999986</v>
      </c>
      <c r="K10" s="8">
        <f>41291.58+26511.69+7689.9+17886.55+20111.22+6348.58+10627.32+14597.04+10369.02+6173.2+6507.63+23771.34+29283.72+30614.82</f>
        <v>251783.61000000002</v>
      </c>
      <c r="L10" s="8">
        <f>19868.25+34379.27+17447.16+51781.13+33519.11+2313.54+8134.93+12810.73+3700.24+9031.68+10530.66+13043.22+18153.62+11095.3+29472.12+19005.47+5241.48+27447.53+39455.94+37460.64+9933.91+28992.51</f>
        <v>442818.43999999994</v>
      </c>
      <c r="M10" s="8">
        <f>30166.56+23120.44+27690.36+20913.78+38562.11+18003.44+18970.5+13617.66+57120.37+32633.88+33257.16+26913.32+36625.5+26785.86+20682.56+3845.17+6703.32+810+4689.81+21021.1</f>
        <v>462132.89999999997</v>
      </c>
      <c r="N10" s="8">
        <f>16033.68+14771.23+13560.9+29114.08+14772.02+38296.71+856.4+20907.24+1986+3961.06+22811.22+52970.34+26608.56+48692.4+38528.18+792+3905.08</f>
        <v>348567.1</v>
      </c>
      <c r="O10" s="9">
        <f t="shared" si="1"/>
        <v>6252147.9100000001</v>
      </c>
    </row>
    <row r="11" spans="1:15" ht="17.100000000000001" customHeight="1" x14ac:dyDescent="0.3">
      <c r="A11" s="10" t="s">
        <v>31</v>
      </c>
      <c r="B11" s="11" t="s">
        <v>32</v>
      </c>
      <c r="C11" s="4">
        <f>C12+C13</f>
        <v>874441.1399999999</v>
      </c>
      <c r="D11" s="4">
        <f t="shared" ref="D11:N11" si="3">D12+D13</f>
        <v>512183.63000000006</v>
      </c>
      <c r="E11" s="4">
        <f>E12+E13</f>
        <v>671516</v>
      </c>
      <c r="F11" s="4">
        <f>F12+F13</f>
        <v>214476.11000000002</v>
      </c>
      <c r="G11" s="4">
        <f t="shared" si="3"/>
        <v>169251.51</v>
      </c>
      <c r="H11" s="4">
        <f t="shared" si="3"/>
        <v>699945.09000000008</v>
      </c>
      <c r="I11" s="4">
        <f t="shared" si="3"/>
        <v>412858.08999999997</v>
      </c>
      <c r="J11" s="4">
        <f t="shared" si="3"/>
        <v>745570.38</v>
      </c>
      <c r="K11" s="4">
        <f>K12+K13</f>
        <v>248794.49</v>
      </c>
      <c r="L11" s="4">
        <f t="shared" si="3"/>
        <v>481947.51999999996</v>
      </c>
      <c r="M11" s="4">
        <f t="shared" si="3"/>
        <v>386766.3</v>
      </c>
      <c r="N11" s="4">
        <f t="shared" si="3"/>
        <v>464553.63</v>
      </c>
      <c r="O11" s="5">
        <f>SUM(C11:N11)</f>
        <v>5882303.8899999987</v>
      </c>
    </row>
    <row r="12" spans="1:15" ht="17.100000000000001" customHeight="1" x14ac:dyDescent="0.3">
      <c r="A12" s="6" t="s">
        <v>33</v>
      </c>
      <c r="B12" s="7" t="s">
        <v>34</v>
      </c>
      <c r="C12" s="8">
        <f>1667.94+7431.78+8240+42987.24+2988+24068.25+12156+66500.4+22571.46+2668+28781.85+2396+32524.92+1090</f>
        <v>256071.83999999997</v>
      </c>
      <c r="D12" s="8">
        <f>113065.3+47021.15+1494+17975+48379.08+58766+16427+13678.14+27039.02+1999+97039.94</f>
        <v>442883.63000000006</v>
      </c>
      <c r="E12" s="8">
        <f>111360.53+21504.16+13983.19+9058.67+3723+24948.02+58470.42+4384.67+39462+49339+82981.66+43471.39+17327.23+2988</f>
        <v>483001.94000000006</v>
      </c>
      <c r="F12" s="8">
        <f>8213.43+5605+1522+2988+16047.45+6307.59+1558+133742.54+38492.1</f>
        <v>214476.11000000002</v>
      </c>
      <c r="G12" s="8">
        <f>19731.36+56964.26+16088.83+49805.92+26661.14</f>
        <v>169251.51</v>
      </c>
      <c r="H12" s="8">
        <f>34847.23+117256.47+4926+42703.57+20488.31+30585.75+31458.91+43630.71+27439.15</f>
        <v>353336.10000000003</v>
      </c>
      <c r="I12" s="8">
        <f>27460.54+10832.93+9188.86+20521.83+25943.15+13525.4+8087.54+9989.39+12771+37026.47+65604.12+17887.81+44653.59+17742.24+23756+19527+48340.22</f>
        <v>412858.08999999997</v>
      </c>
      <c r="J12" s="8">
        <f>106942+31305+19374.44+12605+56580.55+11127+7828+4307+28855.41+6196.14+6028+6771+20298+4524+4524+1508+2151+2136+46636.27+19264.58</f>
        <v>398961.39</v>
      </c>
      <c r="K12" s="8">
        <f>13055.37+20765.51+11187.62+3235+25340.65+8280+4223+3361+54088.5+13618.62+21369.54+32298.68</f>
        <v>210823.49</v>
      </c>
      <c r="L12" s="8">
        <f>45669.59+5011.2+5455+160469.1+70304.99+1637+24367+26094.61+4766+23011+58768.18+11952+4482+26024.06+10665.79+3270</f>
        <v>481947.51999999996</v>
      </c>
      <c r="M12" s="8">
        <f>35394.77+4482+7362+13516.98+11537.84+17586+28532+20370.89+16051+17020+44378.14+15818.68+11477+37313+20113+37541.82+30900+17371.18</f>
        <v>386766.3</v>
      </c>
      <c r="N12" s="8">
        <f>5976+39762+16420+11608+51450.82+11952+4633+11127+5681+5976+105509.99+31875.06+64377.4+44153.33+38151.03+1744+1494+12663</f>
        <v>464553.63</v>
      </c>
      <c r="O12" s="9">
        <f>SUM(C12:N12)</f>
        <v>4274931.5500000007</v>
      </c>
    </row>
    <row r="13" spans="1:15" ht="17.100000000000001" customHeight="1" x14ac:dyDescent="0.3">
      <c r="A13" s="6" t="s">
        <v>35</v>
      </c>
      <c r="B13" s="7" t="s">
        <v>36</v>
      </c>
      <c r="C13" s="8">
        <f>70661.11+515721.74+31986.45</f>
        <v>618369.29999999993</v>
      </c>
      <c r="D13" s="8">
        <f>69300</f>
        <v>69300</v>
      </c>
      <c r="E13" s="8">
        <f>188514.06</f>
        <v>188514.06</v>
      </c>
      <c r="F13" s="8"/>
      <c r="G13" s="8"/>
      <c r="H13" s="8">
        <f>346608.99</f>
        <v>346608.99</v>
      </c>
      <c r="I13" s="8"/>
      <c r="J13" s="8">
        <f>346608.99</f>
        <v>346608.99</v>
      </c>
      <c r="K13" s="8">
        <f>37971</f>
        <v>37971</v>
      </c>
      <c r="L13" s="8"/>
      <c r="M13" s="8"/>
      <c r="N13" s="8"/>
      <c r="O13" s="9">
        <f>SUM(C13:N13)</f>
        <v>1607372.3399999999</v>
      </c>
    </row>
    <row r="14" spans="1:15" ht="17.100000000000001" customHeight="1" x14ac:dyDescent="0.3">
      <c r="A14" s="10" t="s">
        <v>37</v>
      </c>
      <c r="B14" s="11" t="s">
        <v>38</v>
      </c>
      <c r="C14" s="4">
        <f>C15</f>
        <v>130.50000000000003</v>
      </c>
      <c r="D14" s="4">
        <f t="shared" ref="D14:L14" si="4">D15</f>
        <v>74.040000000000006</v>
      </c>
      <c r="E14" s="4">
        <f t="shared" si="4"/>
        <v>56.4</v>
      </c>
      <c r="F14" s="4">
        <f>F15</f>
        <v>50.37</v>
      </c>
      <c r="G14" s="4">
        <f>G15</f>
        <v>17.87</v>
      </c>
      <c r="H14" s="4">
        <f t="shared" si="4"/>
        <v>27.08</v>
      </c>
      <c r="I14" s="4">
        <f t="shared" si="4"/>
        <v>175.62</v>
      </c>
      <c r="J14" s="4">
        <f>J15</f>
        <v>26.369999999999997</v>
      </c>
      <c r="K14" s="4">
        <f>K15</f>
        <v>30.32</v>
      </c>
      <c r="L14" s="4">
        <f t="shared" si="4"/>
        <v>14.190000000000001</v>
      </c>
      <c r="M14" s="4">
        <f>M15</f>
        <v>28.04</v>
      </c>
      <c r="N14" s="4">
        <f>N15</f>
        <v>49.75</v>
      </c>
      <c r="O14" s="5">
        <f t="shared" si="1"/>
        <v>680.55000000000007</v>
      </c>
    </row>
    <row r="15" spans="1:15" ht="17.100000000000001" customHeight="1" x14ac:dyDescent="0.3">
      <c r="A15" s="6" t="s">
        <v>39</v>
      </c>
      <c r="B15" s="7" t="s">
        <v>40</v>
      </c>
      <c r="C15" s="8">
        <f>0.19+14.74+1.14+2.05+11.6+1.03+48.77+3.92+1.68+2.28+43.1</f>
        <v>130.50000000000003</v>
      </c>
      <c r="D15" s="8">
        <f>4.02+26.22+8.19+1.67+1.2+1.9+7.8+4.2+18.84</f>
        <v>74.040000000000006</v>
      </c>
      <c r="E15" s="8">
        <f>2.9+2.07+33.32+3.76+0.74+2.49+7.02+4.1</f>
        <v>56.4</v>
      </c>
      <c r="F15" s="8">
        <f>7.5+14.43+0.72+10.71+8.32+6+0.76+1.7+0.23</f>
        <v>50.37</v>
      </c>
      <c r="G15" s="8">
        <f>4.2+0.65+2.34+5.65+0.66+4.37</f>
        <v>17.87</v>
      </c>
      <c r="H15" s="8">
        <f>2.43+3.52+6.28+1.54+1.61+7.75+3.95</f>
        <v>27.08</v>
      </c>
      <c r="I15" s="8">
        <f>1.52+122.1+5.76+4.55+29.19+0.79+1.05+5.72+3.78+1.16</f>
        <v>175.62</v>
      </c>
      <c r="J15" s="8">
        <f>1.04+7.75+8.48+2.4+1.3+5.4</f>
        <v>26.369999999999997</v>
      </c>
      <c r="K15" s="8">
        <f>3.63+2.08+7.88+12.64+0.24+2.62+1.23</f>
        <v>30.32</v>
      </c>
      <c r="L15" s="8">
        <f>2.83+7.2+4.16</f>
        <v>14.190000000000001</v>
      </c>
      <c r="M15" s="8">
        <f>5.32+5.2+0.48+14.48+2.56</f>
        <v>28.04</v>
      </c>
      <c r="N15" s="8">
        <f>1.05+5.32+9.68+6.48+6.35+1.35+3.8+0.4+13.28+2.04</f>
        <v>49.75</v>
      </c>
      <c r="O15" s="9">
        <f t="shared" si="1"/>
        <v>680.55000000000007</v>
      </c>
    </row>
    <row r="16" spans="1:15" ht="17.100000000000001" customHeight="1" x14ac:dyDescent="0.3">
      <c r="A16" s="10" t="s">
        <v>41</v>
      </c>
      <c r="B16" s="11" t="s">
        <v>42</v>
      </c>
      <c r="C16" s="4">
        <f>C17</f>
        <v>17305.07</v>
      </c>
      <c r="D16" s="4">
        <f t="shared" ref="D16:M16" si="5">D17</f>
        <v>16902.980000000003</v>
      </c>
      <c r="E16" s="4">
        <f t="shared" si="5"/>
        <v>12551.369999999997</v>
      </c>
      <c r="F16" s="4">
        <f>F17</f>
        <v>3898.0599999999995</v>
      </c>
      <c r="G16" s="4">
        <f>G17</f>
        <v>3075.8999999999996</v>
      </c>
      <c r="H16" s="4">
        <f t="shared" si="5"/>
        <v>68888.08</v>
      </c>
      <c r="I16" s="4">
        <f t="shared" si="5"/>
        <v>175138.63000000003</v>
      </c>
      <c r="J16" s="4">
        <f>J17</f>
        <v>193776.7</v>
      </c>
      <c r="K16" s="4">
        <f>K17</f>
        <v>141353.97999999998</v>
      </c>
      <c r="L16" s="4">
        <f t="shared" si="5"/>
        <v>217875.02000000005</v>
      </c>
      <c r="M16" s="4">
        <f t="shared" si="5"/>
        <v>102562.45</v>
      </c>
      <c r="N16" s="4">
        <f>N17</f>
        <v>113444.15000000002</v>
      </c>
      <c r="O16" s="5">
        <f t="shared" si="1"/>
        <v>1066772.3900000001</v>
      </c>
    </row>
    <row r="17" spans="1:15" ht="17.100000000000001" customHeight="1" x14ac:dyDescent="0.3">
      <c r="A17" s="6" t="s">
        <v>43</v>
      </c>
      <c r="B17" s="7" t="s">
        <v>44</v>
      </c>
      <c r="C17" s="8">
        <f>143.27+1132.25+1111.72+450.77+1235.39+599.56+294.91+272.73+267.06+49.53+760.89+821.75+623.94+1376.44+1186.9+1017.45+1513.6+1669.54+1013.75+1763.62</f>
        <v>17305.07</v>
      </c>
      <c r="D17" s="8">
        <f>280.92+409.85+435.18+497.23+502.86+164.41+282.25+243.23+436.97+101.05+316.19+1217.78+627.59+1163.4+232.22+366.15+637.01+1453.22+249.37+7286.1</f>
        <v>16902.980000000003</v>
      </c>
      <c r="E17" s="8">
        <f>6020.98+723.59+221.24+75+510.57+410.96+1004.07+270.4+162.83+550.45+868.72+105.72+144.06+72.24+449.24+281.48+679.82</f>
        <v>12551.369999999997</v>
      </c>
      <c r="F17" s="8">
        <f>68.88+146.92+818.06+45.9+27.3+129.08+47.39+338.72+755.64+184.69+31.08+189.56+221.76+893.08</f>
        <v>3898.0599999999995</v>
      </c>
      <c r="G17" s="8">
        <f>82.18+989.13+333.42+1073.62+597.55</f>
        <v>3075.8999999999996</v>
      </c>
      <c r="H17" s="8">
        <f>319.29+232.57+7282.58+5391.63+6021.26+7591.07+4790.83+3042.79+10557.11+8034.47+7545.23+8079.25</f>
        <v>68888.08</v>
      </c>
      <c r="I17" s="8">
        <f>8094.38+8691.77+8557.35+8718.59+7846.81+8576.58+6410.46+7548.66+6943.5+4987.1+7477.01+8162.47+6027.31+2134.97+8366.82+14168.83+10936.49+5672.76+5831.74+9540.86+7201.89+13242.28</f>
        <v>175138.63000000003</v>
      </c>
      <c r="J17" s="8">
        <f>8838.01+9491.31+11165.18+8320.28+7616.93+7152.64+9577.97+9290.35+6021.19+6549.02+9335.78+12676.16+13689.4+6876.73+6843.87+9944.09+11100.56+9396.22+11888.01+8393.52+4132.2+5477.28</f>
        <v>193776.7</v>
      </c>
      <c r="K17" s="8">
        <f>8727.7+8389.93+11360.19+10857.91+7770.09+10020.11+8592.55+11822.84+8606.87+7362.83+10212.57+13654.36+13579.87+10396.16</f>
        <v>141353.97999999998</v>
      </c>
      <c r="L17" s="8">
        <f>8447.95+8599.13+6232.88+13550.63+11586.68+12348.05+5926.79+12567.63+6368.15+33418.9+3765.55+11400.73+14294.73+12574.85+7267.79+8280.2+4917.32+7548.8+6782.45+5833.25+8822.4+7340.16</f>
        <v>217875.02000000005</v>
      </c>
      <c r="M17" s="8">
        <f>9007.69+6931.18+4257.26+5668.44+9352.35+7332.54+6089.8+4244.21+5684.48+4000.41+5986.7+2788.36+4523.55+7291.16+6064.81+2688.79+3199.47+2373.71+2221.7+2855.84</f>
        <v>102562.45</v>
      </c>
      <c r="N17" s="8">
        <f>2390.86+2609.71+4201.74+6461.49+1255.38+1390.29+6485.79+6604.29+13180.01+5089.11+4951.69+5415.5+3114.74+7805.17+7725.13+13123.8+7888.63+13520.33+230.49</f>
        <v>113444.15000000002</v>
      </c>
      <c r="O17" s="9">
        <f t="shared" si="1"/>
        <v>1066772.3900000001</v>
      </c>
    </row>
    <row r="18" spans="1:15" ht="17.100000000000001" customHeight="1" x14ac:dyDescent="0.3">
      <c r="A18" s="10" t="s">
        <v>45</v>
      </c>
      <c r="B18" s="11" t="s">
        <v>46</v>
      </c>
      <c r="C18" s="4">
        <f>C19</f>
        <v>300</v>
      </c>
      <c r="D18" s="4">
        <f t="shared" ref="D18:M18" si="6">D19</f>
        <v>6880</v>
      </c>
      <c r="E18" s="4">
        <f t="shared" si="6"/>
        <v>0</v>
      </c>
      <c r="F18" s="4">
        <f>F19</f>
        <v>0</v>
      </c>
      <c r="G18" s="4">
        <f t="shared" si="6"/>
        <v>0</v>
      </c>
      <c r="H18" s="4">
        <f t="shared" si="6"/>
        <v>20900</v>
      </c>
      <c r="I18" s="4">
        <f t="shared" si="6"/>
        <v>55800</v>
      </c>
      <c r="J18" s="4">
        <f t="shared" si="6"/>
        <v>51800</v>
      </c>
      <c r="K18" s="4">
        <f t="shared" si="6"/>
        <v>35200</v>
      </c>
      <c r="L18" s="4">
        <f t="shared" si="6"/>
        <v>33000</v>
      </c>
      <c r="M18" s="4">
        <f t="shared" si="6"/>
        <v>23000</v>
      </c>
      <c r="N18" s="4">
        <f>N19</f>
        <v>19400</v>
      </c>
      <c r="O18" s="5">
        <f>SUM(C18:N18)</f>
        <v>246280</v>
      </c>
    </row>
    <row r="19" spans="1:15" ht="17.100000000000001" customHeight="1" x14ac:dyDescent="0.3">
      <c r="A19" s="6" t="s">
        <v>47</v>
      </c>
      <c r="B19" s="7" t="s">
        <v>48</v>
      </c>
      <c r="C19" s="8">
        <f>300</f>
        <v>300</v>
      </c>
      <c r="D19" s="8">
        <v>6880</v>
      </c>
      <c r="E19" s="8"/>
      <c r="F19" s="8"/>
      <c r="G19" s="8"/>
      <c r="H19" s="8">
        <f>1500+1900+1100+3700+2000+1100+2900+1800+1800+3100</f>
        <v>20900</v>
      </c>
      <c r="I19" s="8">
        <f>2500+3700+2800+2400+2200+3100+2800+1500+2300+1200+3500+2600+1600+3100+5300+4100+1200+2900+2100+2800+2100</f>
        <v>55800</v>
      </c>
      <c r="J19" s="8">
        <f>3500+2800+2400+3800+1900+2600+3100+1500+1800+1200+3800+5100+1400+1600+2100+2600+1200+3400+2400+2100+1500</f>
        <v>51800</v>
      </c>
      <c r="K19" s="8">
        <f>2300+2400+1200+2800+1100+3100+1500+3000+1200+2600+2100+4800+3900+3200</f>
        <v>35200</v>
      </c>
      <c r="L19" s="8">
        <f>2400+1300+600+3900+2700+900+500+600+4700+1500+300+1700+2200+2100+600+2400+800+1700+2100</f>
        <v>33000</v>
      </c>
      <c r="M19" s="8">
        <f>3300+2900+2100+2700+1200+1800+600+1800+2700+2400+300+600+600</f>
        <v>23000</v>
      </c>
      <c r="N19" s="8">
        <f>600+900+1800+2400+300+500+1800+3400+5700+2000</f>
        <v>19400</v>
      </c>
      <c r="O19" s="9">
        <f>SUM(C19:N19)</f>
        <v>246280</v>
      </c>
    </row>
    <row r="20" spans="1:15" ht="17.100000000000001" customHeight="1" x14ac:dyDescent="0.3">
      <c r="A20" s="12" t="s">
        <v>49</v>
      </c>
      <c r="B20" s="11" t="s">
        <v>50</v>
      </c>
      <c r="C20" s="4">
        <f>C21</f>
        <v>109.64</v>
      </c>
      <c r="D20" s="4">
        <f t="shared" ref="D20:N20" si="7">D21</f>
        <v>0</v>
      </c>
      <c r="E20" s="4">
        <f t="shared" si="7"/>
        <v>0</v>
      </c>
      <c r="F20" s="4">
        <f t="shared" si="7"/>
        <v>0</v>
      </c>
      <c r="G20" s="4">
        <f t="shared" si="7"/>
        <v>0</v>
      </c>
      <c r="H20" s="4">
        <f t="shared" si="7"/>
        <v>11644.49</v>
      </c>
      <c r="I20" s="4">
        <f t="shared" si="7"/>
        <v>28755.95</v>
      </c>
      <c r="J20" s="4">
        <f t="shared" si="7"/>
        <v>26691.24</v>
      </c>
      <c r="K20" s="4">
        <f t="shared" si="7"/>
        <v>21135.77</v>
      </c>
      <c r="L20" s="4">
        <f t="shared" si="7"/>
        <v>19656.36</v>
      </c>
      <c r="M20" s="4">
        <f t="shared" si="7"/>
        <v>10391.98</v>
      </c>
      <c r="N20" s="4">
        <f t="shared" si="7"/>
        <v>8421.4</v>
      </c>
      <c r="O20" s="5">
        <f>SUM(C20:N20)</f>
        <v>126806.83</v>
      </c>
    </row>
    <row r="21" spans="1:15" ht="17.100000000000001" customHeight="1" x14ac:dyDescent="0.3">
      <c r="A21" s="6" t="s">
        <v>51</v>
      </c>
      <c r="B21" s="7" t="s">
        <v>52</v>
      </c>
      <c r="C21" s="8">
        <f>109.64</f>
        <v>109.64</v>
      </c>
      <c r="D21" s="8"/>
      <c r="E21" s="8"/>
      <c r="F21" s="8"/>
      <c r="G21" s="8"/>
      <c r="H21" s="8">
        <f>1322.06+837.28+542.1+1642.13+903.42+494.87+2402.73+984.27+1098.73+1416.9</f>
        <v>11644.49</v>
      </c>
      <c r="I21" s="8">
        <f>1231.52+1979.68+1826.36+1083.38+1364.7+1853.49+1332.76+937.14+1030.77+517.6+1593.27+1199.65+746.24+1526.89+2446.21+2126.96+555.8+1287.02+1274.13+1264.5+1577.88</f>
        <v>28755.95</v>
      </c>
      <c r="J21" s="8">
        <f>1775.26+2044.6+1439.31+1769.96+815.01+1301.11+1376.19+1236.66+818.1+545.3+1683.12+2231.27+615.47+1095.39+1124.92+1645.82+702.65+1570.82+1250.23+990.81+659.24</f>
        <v>26691.24</v>
      </c>
      <c r="K21" s="8">
        <f>1052.68+1040.8+609.48+1390.59+693.94+1729.01+1431.38+2072.85+688.45+1677.19+2245.31+2425.05+2274.59+1804.45</f>
        <v>21135.77</v>
      </c>
      <c r="L21" s="8">
        <f>1259.88+556.88+267.48+1737.77+1207.48+617.35+232.41+267.7+2425.41+2232.05+133.74+2310.64+977.52+968.31+262+1068.62+380.86+1820.68+929.58</f>
        <v>19656.36</v>
      </c>
      <c r="M21" s="8">
        <f>1540.98+1246.41+935.25+1207.7+534.96+827.79+267.48+818.49+1233.81+1097.97+137.09+274.18+269.87</f>
        <v>10391.98</v>
      </c>
      <c r="N21" s="8">
        <f>272.1+411.27+822.54+986.46+137.09+245.74+746.29+1528.27+2414.26+857.38</f>
        <v>8421.4</v>
      </c>
      <c r="O21" s="9">
        <f>SUM(C21:N21)</f>
        <v>126806.83</v>
      </c>
    </row>
    <row r="22" spans="1:15" ht="17.100000000000001" customHeight="1" x14ac:dyDescent="0.3">
      <c r="A22" s="10" t="s">
        <v>53</v>
      </c>
      <c r="B22" s="11" t="s">
        <v>54</v>
      </c>
      <c r="C22" s="4">
        <f>C23</f>
        <v>0</v>
      </c>
      <c r="D22" s="4">
        <f t="shared" ref="D22:M22" si="8">D23</f>
        <v>0</v>
      </c>
      <c r="E22" s="4">
        <f t="shared" si="8"/>
        <v>0</v>
      </c>
      <c r="F22" s="4">
        <f t="shared" si="8"/>
        <v>0</v>
      </c>
      <c r="G22" s="4">
        <f t="shared" si="8"/>
        <v>0</v>
      </c>
      <c r="H22" s="4">
        <f t="shared" si="8"/>
        <v>0</v>
      </c>
      <c r="I22" s="4">
        <f t="shared" si="8"/>
        <v>0</v>
      </c>
      <c r="J22" s="4">
        <f>J23</f>
        <v>0</v>
      </c>
      <c r="K22" s="4">
        <f t="shared" si="8"/>
        <v>0</v>
      </c>
      <c r="L22" s="4">
        <f t="shared" si="8"/>
        <v>157935</v>
      </c>
      <c r="M22" s="4">
        <f t="shared" si="8"/>
        <v>0</v>
      </c>
      <c r="N22" s="4">
        <f>N23</f>
        <v>0</v>
      </c>
      <c r="O22" s="5">
        <f t="shared" si="1"/>
        <v>157935</v>
      </c>
    </row>
    <row r="23" spans="1:15" ht="17.100000000000001" customHeight="1" x14ac:dyDescent="0.3">
      <c r="A23" s="6" t="s">
        <v>55</v>
      </c>
      <c r="B23" s="7" t="s">
        <v>54</v>
      </c>
      <c r="C23" s="8"/>
      <c r="D23" s="8"/>
      <c r="E23" s="8"/>
      <c r="F23" s="8"/>
      <c r="G23" s="8"/>
      <c r="H23" s="8"/>
      <c r="I23" s="8"/>
      <c r="J23" s="8"/>
      <c r="K23" s="8"/>
      <c r="L23" s="8">
        <f>157935</f>
        <v>157935</v>
      </c>
      <c r="M23" s="8"/>
      <c r="N23" s="8"/>
      <c r="O23" s="9">
        <f t="shared" si="1"/>
        <v>157935</v>
      </c>
    </row>
    <row r="24" spans="1:15" ht="17.100000000000001" customHeight="1" x14ac:dyDescent="0.3">
      <c r="A24" s="12" t="s">
        <v>56</v>
      </c>
      <c r="B24" s="11" t="s">
        <v>57</v>
      </c>
      <c r="C24" s="4">
        <f>C25</f>
        <v>0</v>
      </c>
      <c r="D24" s="4">
        <f t="shared" ref="D24:M24" si="9">D25</f>
        <v>0</v>
      </c>
      <c r="E24" s="4">
        <f t="shared" si="9"/>
        <v>0</v>
      </c>
      <c r="F24" s="4">
        <f t="shared" si="9"/>
        <v>0</v>
      </c>
      <c r="G24" s="4">
        <f t="shared" si="9"/>
        <v>0</v>
      </c>
      <c r="H24" s="4">
        <f t="shared" si="9"/>
        <v>0</v>
      </c>
      <c r="I24" s="4">
        <f t="shared" si="9"/>
        <v>0</v>
      </c>
      <c r="J24" s="4">
        <f t="shared" si="9"/>
        <v>0</v>
      </c>
      <c r="K24" s="4">
        <f t="shared" si="9"/>
        <v>0</v>
      </c>
      <c r="L24" s="4">
        <f t="shared" si="9"/>
        <v>0</v>
      </c>
      <c r="M24" s="4">
        <f t="shared" si="9"/>
        <v>0</v>
      </c>
      <c r="N24" s="4">
        <f>N25</f>
        <v>0</v>
      </c>
      <c r="O24" s="5">
        <f t="shared" si="1"/>
        <v>0</v>
      </c>
    </row>
    <row r="25" spans="1:15" ht="17.100000000000001" customHeight="1" x14ac:dyDescent="0.3">
      <c r="A25" s="6" t="s">
        <v>58</v>
      </c>
      <c r="B25" s="7" t="s">
        <v>59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>
        <f t="shared" si="1"/>
        <v>0</v>
      </c>
    </row>
    <row r="26" spans="1:15" ht="17.100000000000001" customHeight="1" x14ac:dyDescent="0.3">
      <c r="A26" s="10" t="s">
        <v>60</v>
      </c>
      <c r="B26" s="11" t="s">
        <v>61</v>
      </c>
      <c r="C26" s="4">
        <f>SUM(C27:C28)</f>
        <v>20830</v>
      </c>
      <c r="D26" s="4">
        <f t="shared" ref="D26:I26" si="10">SUM(D27:D28)</f>
        <v>12760</v>
      </c>
      <c r="E26" s="4">
        <f t="shared" si="10"/>
        <v>12220</v>
      </c>
      <c r="F26" s="4">
        <f>SUM(F27:F28)</f>
        <v>15350</v>
      </c>
      <c r="G26" s="4">
        <f>SUM(G27:G28)</f>
        <v>12580</v>
      </c>
      <c r="H26" s="4">
        <f t="shared" si="10"/>
        <v>12480</v>
      </c>
      <c r="I26" s="4">
        <f t="shared" si="10"/>
        <v>15280</v>
      </c>
      <c r="J26" s="4">
        <f>SUM(J27:J28)</f>
        <v>12430</v>
      </c>
      <c r="K26" s="4">
        <f>SUM(K27:K28)</f>
        <v>12730</v>
      </c>
      <c r="L26" s="4">
        <f>SUM(L27:L28)</f>
        <v>13170</v>
      </c>
      <c r="M26" s="4">
        <f>SUM(M27:M28)</f>
        <v>12450</v>
      </c>
      <c r="N26" s="4">
        <f>SUM(N27:N28)</f>
        <v>13860</v>
      </c>
      <c r="O26" s="5">
        <f t="shared" si="1"/>
        <v>166140</v>
      </c>
    </row>
    <row r="27" spans="1:15" ht="17.100000000000001" customHeight="1" x14ac:dyDescent="0.3">
      <c r="A27" s="6" t="s">
        <v>62</v>
      </c>
      <c r="B27" s="7" t="s">
        <v>63</v>
      </c>
      <c r="C27" s="8">
        <f>60</f>
        <v>60</v>
      </c>
      <c r="D27" s="8">
        <f>60+600</f>
        <v>660</v>
      </c>
      <c r="E27" s="8">
        <f>60</f>
        <v>60</v>
      </c>
      <c r="F27" s="8">
        <f>60</f>
        <v>60</v>
      </c>
      <c r="G27" s="8">
        <f>60</f>
        <v>60</v>
      </c>
      <c r="H27" s="8">
        <f>60</f>
        <v>60</v>
      </c>
      <c r="I27" s="8">
        <f>60</f>
        <v>60</v>
      </c>
      <c r="J27" s="8">
        <f>60</f>
        <v>60</v>
      </c>
      <c r="K27" s="8">
        <v>60</v>
      </c>
      <c r="L27" s="8">
        <f>60</f>
        <v>60</v>
      </c>
      <c r="M27" s="8"/>
      <c r="N27" s="8"/>
      <c r="O27" s="9">
        <f t="shared" si="1"/>
        <v>1200</v>
      </c>
    </row>
    <row r="28" spans="1:15" ht="17.100000000000001" customHeight="1" x14ac:dyDescent="0.3">
      <c r="A28" s="6" t="s">
        <v>64</v>
      </c>
      <c r="B28" s="7" t="s">
        <v>65</v>
      </c>
      <c r="C28" s="8">
        <f>3210+2740+5250+3250+3000+3320</f>
        <v>20770</v>
      </c>
      <c r="D28" s="8">
        <f>3020+3040+3090+2950</f>
        <v>12100</v>
      </c>
      <c r="E28" s="8">
        <f>3340+2530+3220+3070</f>
        <v>12160</v>
      </c>
      <c r="F28" s="8">
        <f>2310+3570+2970+3440+3000</f>
        <v>15290</v>
      </c>
      <c r="G28" s="8">
        <f>3160+2820+3200+3340</f>
        <v>12520</v>
      </c>
      <c r="H28" s="8">
        <f>3060+3020+3340+3000</f>
        <v>12420</v>
      </c>
      <c r="I28" s="8">
        <f>2720+3270+3530+2770+2930</f>
        <v>15220</v>
      </c>
      <c r="J28" s="8">
        <f>3010+3000+3000+3360</f>
        <v>12370</v>
      </c>
      <c r="K28" s="8">
        <f>3010+2990+3310+3360</f>
        <v>12670</v>
      </c>
      <c r="L28" s="8">
        <f>2630+2360+2260+2800+3060</f>
        <v>13110</v>
      </c>
      <c r="M28" s="8">
        <f>3160+2960+3100+3230</f>
        <v>12450</v>
      </c>
      <c r="N28" s="8">
        <f>3000+2550+2440+3000+2870</f>
        <v>13860</v>
      </c>
      <c r="O28" s="9">
        <f t="shared" si="1"/>
        <v>164940</v>
      </c>
    </row>
    <row r="29" spans="1:15" ht="17.100000000000001" customHeight="1" x14ac:dyDescent="0.3">
      <c r="A29" s="12" t="s">
        <v>66</v>
      </c>
      <c r="B29" s="11" t="s">
        <v>67</v>
      </c>
      <c r="C29" s="4">
        <f>SUM(C30:C31)</f>
        <v>13416</v>
      </c>
      <c r="D29" s="4">
        <f t="shared" ref="D29:L29" si="11">SUM(D30:D31)</f>
        <v>4977.5</v>
      </c>
      <c r="E29" s="4">
        <f t="shared" si="11"/>
        <v>3594.66</v>
      </c>
      <c r="F29" s="4">
        <f>SUM(F30:F31)</f>
        <v>5634.5</v>
      </c>
      <c r="G29" s="4">
        <f t="shared" si="11"/>
        <v>1337</v>
      </c>
      <c r="H29" s="4">
        <f t="shared" si="11"/>
        <v>0</v>
      </c>
      <c r="I29" s="4">
        <f t="shared" si="11"/>
        <v>1146</v>
      </c>
      <c r="J29" s="4">
        <f>SUM(J30:J31)</f>
        <v>2292</v>
      </c>
      <c r="K29" s="4">
        <f>SUM(K30:K31)</f>
        <v>4350.9799999999996</v>
      </c>
      <c r="L29" s="4">
        <f t="shared" si="11"/>
        <v>2101</v>
      </c>
      <c r="M29" s="4">
        <f>SUM(M30:M31)</f>
        <v>0</v>
      </c>
      <c r="N29" s="4">
        <f>SUM(N30:N31)</f>
        <v>2387.5</v>
      </c>
      <c r="O29" s="5">
        <f t="shared" si="1"/>
        <v>41237.14</v>
      </c>
    </row>
    <row r="30" spans="1:15" ht="17.100000000000001" customHeight="1" x14ac:dyDescent="0.3">
      <c r="A30" s="6" t="s">
        <v>68</v>
      </c>
      <c r="B30" s="7" t="s">
        <v>69</v>
      </c>
      <c r="C30" s="8">
        <f>10635+2781</f>
        <v>13416</v>
      </c>
      <c r="D30" s="8">
        <f>3831.5+1146</f>
        <v>4977.5</v>
      </c>
      <c r="E30" s="8">
        <f>2781+813.66</f>
        <v>3594.66</v>
      </c>
      <c r="F30" s="8">
        <f>1050.5+2292+1146+1146</f>
        <v>5634.5</v>
      </c>
      <c r="G30" s="8">
        <f>1337</f>
        <v>1337</v>
      </c>
      <c r="H30" s="8"/>
      <c r="I30" s="8">
        <f>1146</f>
        <v>1146</v>
      </c>
      <c r="J30" s="8">
        <f>1146+1146</f>
        <v>2292</v>
      </c>
      <c r="K30" s="8">
        <f>1146+1146+1008.48+1050.5</f>
        <v>4350.9799999999996</v>
      </c>
      <c r="L30" s="8">
        <f>1050.5+1050.5</f>
        <v>2101</v>
      </c>
      <c r="M30" s="8"/>
      <c r="N30" s="8">
        <f>2101+286.5</f>
        <v>2387.5</v>
      </c>
      <c r="O30" s="9">
        <f t="shared" si="1"/>
        <v>41237.14</v>
      </c>
    </row>
    <row r="31" spans="1:15" ht="17.100000000000001" customHeight="1" x14ac:dyDescent="0.3">
      <c r="A31" s="6" t="s">
        <v>70</v>
      </c>
      <c r="B31" s="7" t="s">
        <v>71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>
        <f t="shared" si="1"/>
        <v>0</v>
      </c>
    </row>
    <row r="32" spans="1:15" ht="17.100000000000001" customHeight="1" x14ac:dyDescent="0.3">
      <c r="A32" s="10" t="s">
        <v>72</v>
      </c>
      <c r="B32" s="11" t="s">
        <v>73</v>
      </c>
      <c r="C32" s="4">
        <f>SUM(C33:C35)</f>
        <v>0</v>
      </c>
      <c r="D32" s="4">
        <f t="shared" ref="D32:M32" si="12">SUM(D33:D35)</f>
        <v>0</v>
      </c>
      <c r="E32" s="4">
        <f t="shared" si="12"/>
        <v>0</v>
      </c>
      <c r="F32" s="4">
        <f t="shared" si="12"/>
        <v>0</v>
      </c>
      <c r="G32" s="4">
        <f t="shared" si="12"/>
        <v>0</v>
      </c>
      <c r="H32" s="4">
        <f t="shared" si="12"/>
        <v>0</v>
      </c>
      <c r="I32" s="4">
        <f t="shared" si="12"/>
        <v>0</v>
      </c>
      <c r="J32" s="4">
        <f>SUM(J33:J35)</f>
        <v>0</v>
      </c>
      <c r="K32" s="4">
        <f>SUM(K33:K35)</f>
        <v>0</v>
      </c>
      <c r="L32" s="4">
        <f t="shared" si="12"/>
        <v>0</v>
      </c>
      <c r="M32" s="4">
        <f t="shared" si="12"/>
        <v>0</v>
      </c>
      <c r="N32" s="4">
        <f>SUM(N33:N35)</f>
        <v>0</v>
      </c>
      <c r="O32" s="5">
        <f t="shared" si="1"/>
        <v>0</v>
      </c>
    </row>
    <row r="33" spans="1:15" ht="17.100000000000001" customHeight="1" x14ac:dyDescent="0.3">
      <c r="A33" s="6" t="s">
        <v>74</v>
      </c>
      <c r="B33" s="7" t="s">
        <v>75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>
        <f t="shared" si="1"/>
        <v>0</v>
      </c>
    </row>
    <row r="34" spans="1:15" ht="17.100000000000001" customHeight="1" x14ac:dyDescent="0.3">
      <c r="A34" s="6" t="s">
        <v>76</v>
      </c>
      <c r="B34" s="7" t="s">
        <v>77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>
        <f t="shared" si="1"/>
        <v>0</v>
      </c>
    </row>
    <row r="35" spans="1:15" ht="17.100000000000001" customHeight="1" x14ac:dyDescent="0.3">
      <c r="A35" s="6" t="s">
        <v>78</v>
      </c>
      <c r="B35" s="7" t="s">
        <v>79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>
        <f t="shared" si="1"/>
        <v>0</v>
      </c>
    </row>
    <row r="36" spans="1:15" ht="17.100000000000001" customHeight="1" x14ac:dyDescent="0.3">
      <c r="A36" s="10" t="s">
        <v>80</v>
      </c>
      <c r="B36" s="11" t="s">
        <v>81</v>
      </c>
      <c r="C36" s="4">
        <f>SUM(C37:C39)</f>
        <v>117100</v>
      </c>
      <c r="D36" s="4">
        <f t="shared" ref="D36:M36" si="13">SUM(D37:D39)</f>
        <v>71706</v>
      </c>
      <c r="E36" s="4">
        <f>SUM(E37:E39)</f>
        <v>25994</v>
      </c>
      <c r="F36" s="4">
        <f>SUM(F37:F39)</f>
        <v>10162</v>
      </c>
      <c r="G36" s="4">
        <f>SUM(G37:G39)</f>
        <v>6989</v>
      </c>
      <c r="H36" s="4">
        <f t="shared" si="13"/>
        <v>14191</v>
      </c>
      <c r="I36" s="4">
        <f t="shared" si="13"/>
        <v>3521</v>
      </c>
      <c r="J36" s="4">
        <f>SUM(J37:J39)</f>
        <v>2440</v>
      </c>
      <c r="K36" s="4">
        <f>SUM(K37:K39)</f>
        <v>2557</v>
      </c>
      <c r="L36" s="4">
        <f t="shared" si="13"/>
        <v>1325</v>
      </c>
      <c r="M36" s="4">
        <f t="shared" si="13"/>
        <v>2176</v>
      </c>
      <c r="N36" s="4">
        <f>SUM(N37:N39)</f>
        <v>2217</v>
      </c>
      <c r="O36" s="5">
        <f t="shared" si="1"/>
        <v>260378</v>
      </c>
    </row>
    <row r="37" spans="1:15" ht="17.100000000000001" customHeight="1" x14ac:dyDescent="0.3">
      <c r="A37" s="6" t="s">
        <v>82</v>
      </c>
      <c r="B37" s="7" t="s">
        <v>83</v>
      </c>
      <c r="C37" s="8">
        <f>1115+1115+1115+1115+1115+4460+5575+1115+3295+2230+1115+1115+4460+2230+1075+2230+30522</f>
        <v>64997</v>
      </c>
      <c r="D37" s="8">
        <f>1115+2230+2230+1115+2230+1115+2230+1115+1115+28852+2177+5522+3292</f>
        <v>54338</v>
      </c>
      <c r="E37" s="8">
        <f>1115+2230+1115+1115</f>
        <v>5575</v>
      </c>
      <c r="F37" s="8">
        <f>1115+3243+1115</f>
        <v>5473</v>
      </c>
      <c r="G37" s="8">
        <f>2019</f>
        <v>2019</v>
      </c>
      <c r="H37" s="8">
        <f>1115+1115</f>
        <v>2230</v>
      </c>
      <c r="I37" s="8">
        <f>1260</f>
        <v>1260</v>
      </c>
      <c r="J37" s="8">
        <f>1115</f>
        <v>1115</v>
      </c>
      <c r="K37" s="8">
        <f>786</f>
        <v>786</v>
      </c>
      <c r="L37" s="8"/>
      <c r="M37" s="8">
        <f>223</f>
        <v>223</v>
      </c>
      <c r="N37" s="8"/>
      <c r="O37" s="9">
        <f t="shared" si="1"/>
        <v>138016</v>
      </c>
    </row>
    <row r="38" spans="1:15" ht="17.100000000000001" customHeight="1" x14ac:dyDescent="0.3">
      <c r="A38" s="6" t="s">
        <v>84</v>
      </c>
      <c r="B38" s="7" t="s">
        <v>85</v>
      </c>
      <c r="C38" s="8">
        <f>3023+3210+5592+2040+3144</f>
        <v>17009</v>
      </c>
      <c r="D38" s="8"/>
      <c r="E38" s="8">
        <f>2200+1115+4810+2048</f>
        <v>10173</v>
      </c>
      <c r="F38" s="8"/>
      <c r="G38" s="8">
        <f>2307</f>
        <v>2307</v>
      </c>
      <c r="H38" s="8">
        <f>2247+2247+1662+3142</f>
        <v>9298</v>
      </c>
      <c r="I38" s="8"/>
      <c r="J38" s="8"/>
      <c r="K38" s="8"/>
      <c r="L38" s="8"/>
      <c r="M38" s="8"/>
      <c r="N38" s="8"/>
      <c r="O38" s="9">
        <f t="shared" si="1"/>
        <v>38787</v>
      </c>
    </row>
    <row r="39" spans="1:15" ht="17.100000000000001" customHeight="1" x14ac:dyDescent="0.3">
      <c r="A39" s="6" t="s">
        <v>86</v>
      </c>
      <c r="B39" s="7" t="s">
        <v>87</v>
      </c>
      <c r="C39" s="8">
        <f>669+1115+2886+223+892+1115+2676+2453+2204+892+1561+3296+1994+2007+1115+2650+446+1115+1338+892+1994+1561</f>
        <v>35094</v>
      </c>
      <c r="D39" s="8">
        <f>446+669+1784+669+1561+669+892+669+1115+892+892+1115+1115+669+1102+892+892+879+446</f>
        <v>17368</v>
      </c>
      <c r="E39" s="8">
        <f>1115+892+223+304+656+433+892+223+1346+856+446+656+1325+656+223</f>
        <v>10246</v>
      </c>
      <c r="F39" s="8">
        <f>446+446+223+879+223+701+223+223+223+433+223+223+223</f>
        <v>4689</v>
      </c>
      <c r="G39" s="8">
        <f>223+223+223+223+223+433+223+446+446</f>
        <v>2663</v>
      </c>
      <c r="H39" s="8">
        <f>669+223+223+433+223+223+446+223</f>
        <v>2663</v>
      </c>
      <c r="I39" s="8">
        <f>446+223+824+223+433+112</f>
        <v>2261</v>
      </c>
      <c r="J39" s="8">
        <f>433+223+446+223</f>
        <v>1325</v>
      </c>
      <c r="K39" s="8">
        <f>433+223+223+223+223+223+223</f>
        <v>1771</v>
      </c>
      <c r="L39" s="8">
        <f>223+223+223+433+223</f>
        <v>1325</v>
      </c>
      <c r="M39" s="8">
        <f>223+223+1507</f>
        <v>1953</v>
      </c>
      <c r="N39" s="8">
        <f>223+223+892+433+446</f>
        <v>2217</v>
      </c>
      <c r="O39" s="9">
        <f t="shared" si="1"/>
        <v>83575</v>
      </c>
    </row>
    <row r="40" spans="1:15" ht="17.100000000000001" customHeight="1" x14ac:dyDescent="0.3">
      <c r="A40" s="10" t="s">
        <v>88</v>
      </c>
      <c r="B40" s="11" t="s">
        <v>89</v>
      </c>
      <c r="C40" s="4">
        <f>SUM(C41:C42)</f>
        <v>7596</v>
      </c>
      <c r="D40" s="4">
        <f>SUM(D41:D42)</f>
        <v>4156</v>
      </c>
      <c r="E40" s="4">
        <f>SUM(E41:E42)</f>
        <v>649</v>
      </c>
      <c r="F40" s="4">
        <f>SUM(F41:F42)</f>
        <v>505</v>
      </c>
      <c r="G40" s="4">
        <f>SUM(G41:G42)</f>
        <v>330</v>
      </c>
      <c r="H40" s="4">
        <f t="shared" ref="H40:M40" si="14">SUM(H41:H42)</f>
        <v>562</v>
      </c>
      <c r="I40" s="4">
        <f t="shared" si="14"/>
        <v>455</v>
      </c>
      <c r="J40" s="4">
        <f>SUM(J41:J42)</f>
        <v>210</v>
      </c>
      <c r="K40" s="4">
        <f>SUM(K41:K42)</f>
        <v>245</v>
      </c>
      <c r="L40" s="4">
        <f t="shared" si="14"/>
        <v>105</v>
      </c>
      <c r="M40" s="4">
        <f t="shared" si="14"/>
        <v>175</v>
      </c>
      <c r="N40" s="4">
        <f>SUM(N41:N42)</f>
        <v>630</v>
      </c>
      <c r="O40" s="5">
        <f t="shared" si="1"/>
        <v>15618</v>
      </c>
    </row>
    <row r="41" spans="1:15" ht="17.100000000000001" customHeight="1" x14ac:dyDescent="0.3">
      <c r="A41" s="6" t="s">
        <v>90</v>
      </c>
      <c r="B41" s="7" t="s">
        <v>91</v>
      </c>
      <c r="C41" s="8">
        <f>92+336+90+144+56+56+101+60+2124+140+170+159+112+140+173+113+3033</f>
        <v>7099</v>
      </c>
      <c r="D41" s="8">
        <f>23+56+78+2391+1132+56</f>
        <v>3736</v>
      </c>
      <c r="E41" s="8">
        <f>128+30+36</f>
        <v>194</v>
      </c>
      <c r="F41" s="8">
        <f>60+60</f>
        <v>120</v>
      </c>
      <c r="G41" s="8">
        <f>35+60</f>
        <v>95</v>
      </c>
      <c r="H41" s="8">
        <f>30+117+100</f>
        <v>247</v>
      </c>
      <c r="I41" s="8"/>
      <c r="J41" s="8"/>
      <c r="K41" s="8"/>
      <c r="L41" s="8"/>
      <c r="M41" s="8"/>
      <c r="N41" s="8"/>
      <c r="O41" s="9">
        <f t="shared" si="1"/>
        <v>11491</v>
      </c>
    </row>
    <row r="42" spans="1:15" ht="17.100000000000001" customHeight="1" x14ac:dyDescent="0.3">
      <c r="A42" s="6" t="s">
        <v>92</v>
      </c>
      <c r="B42" s="7" t="s">
        <v>93</v>
      </c>
      <c r="C42" s="8">
        <f>35+35+35+35+35+112+35+35+35+35+35+35</f>
        <v>497</v>
      </c>
      <c r="D42" s="8">
        <f>35+70+105+35+35+35+35+35+35</f>
        <v>420</v>
      </c>
      <c r="E42" s="8">
        <f>70+35+70+70+35+70+35+70</f>
        <v>455</v>
      </c>
      <c r="F42" s="8">
        <f>70+35+35+70+35+35+35+35+35</f>
        <v>385</v>
      </c>
      <c r="G42" s="8">
        <f>35+35+35+95+35</f>
        <v>235</v>
      </c>
      <c r="H42" s="8">
        <f>35+70+35+35+35+35+70</f>
        <v>315</v>
      </c>
      <c r="I42" s="8">
        <f>35+35+35+70+105+35+35+35+35+35</f>
        <v>455</v>
      </c>
      <c r="J42" s="8">
        <f>35+35+70+35+35</f>
        <v>210</v>
      </c>
      <c r="K42" s="8">
        <f>35+35+35+35+35+35+35</f>
        <v>245</v>
      </c>
      <c r="L42" s="8">
        <f>35+35+35</f>
        <v>105</v>
      </c>
      <c r="M42" s="8">
        <f>35+35+35+35+35</f>
        <v>175</v>
      </c>
      <c r="N42" s="8">
        <f>35+35+70+70+70+35+105+35+105+70</f>
        <v>630</v>
      </c>
      <c r="O42" s="9">
        <f t="shared" si="1"/>
        <v>4127</v>
      </c>
    </row>
    <row r="43" spans="1:15" ht="17.100000000000001" customHeight="1" x14ac:dyDescent="0.3">
      <c r="A43" s="10" t="s">
        <v>94</v>
      </c>
      <c r="B43" s="11" t="s">
        <v>95</v>
      </c>
      <c r="C43" s="4">
        <f>C44+C45+C46</f>
        <v>19357.059999999998</v>
      </c>
      <c r="D43" s="4">
        <f>D44+D45+D46</f>
        <v>18214.97</v>
      </c>
      <c r="E43" s="4">
        <f>E44+E46+E45</f>
        <v>16243.27</v>
      </c>
      <c r="F43" s="4">
        <f>F44+F45+F46</f>
        <v>22806.3</v>
      </c>
      <c r="G43" s="4">
        <f>G44+G45+G46</f>
        <v>10082.950000000001</v>
      </c>
      <c r="H43" s="4">
        <f t="shared" ref="H43:N43" si="15">H44+H45+H46</f>
        <v>6208.3399999999992</v>
      </c>
      <c r="I43" s="4">
        <f t="shared" si="15"/>
        <v>25821.040000000001</v>
      </c>
      <c r="J43" s="4">
        <f>J44+J45+J46</f>
        <v>9949.84</v>
      </c>
      <c r="K43" s="4">
        <f>K44+K45+K46</f>
        <v>5343.02</v>
      </c>
      <c r="L43" s="4">
        <f t="shared" si="15"/>
        <v>4801.1900000000005</v>
      </c>
      <c r="M43" s="4">
        <f>M44+M45+M46</f>
        <v>8479.2999999999993</v>
      </c>
      <c r="N43" s="4">
        <f t="shared" si="15"/>
        <v>12025.31</v>
      </c>
      <c r="O43" s="5">
        <f t="shared" si="1"/>
        <v>159332.58999999997</v>
      </c>
    </row>
    <row r="44" spans="1:15" ht="17.100000000000001" customHeight="1" x14ac:dyDescent="0.3">
      <c r="A44" s="6" t="s">
        <v>96</v>
      </c>
      <c r="B44" s="7" t="s">
        <v>97</v>
      </c>
      <c r="C44" s="8">
        <f>2979+19.38+1474.4+193.32+205.2+993+1159.77+993+1095.6+4876.52+392.46+168+23.55+228+4316.86</f>
        <v>19118.059999999998</v>
      </c>
      <c r="D44" s="8">
        <f>402.07+2622+3060+818.5+166.8+120+5289.6+1800+420+1632+1884</f>
        <v>18214.97</v>
      </c>
      <c r="E44" s="8">
        <f>289.3+1226.5+5678.05+1702+74.4+248.5+1314+2040+612+2449.52</f>
        <v>15634.27</v>
      </c>
      <c r="F44" s="8">
        <f>750+306+612+2346+1443.3+2040+2111.5+1071+832+600+76+1429+1020+1020+2210.1+2040+23.4+2040</f>
        <v>21970.3</v>
      </c>
      <c r="G44" s="8">
        <f>306+420+1020+306+64.75+234+306+565.2+66+437+2040+612</f>
        <v>6376.95</v>
      </c>
      <c r="H44" s="8">
        <f>243.48+352.46+628+306+2193.6+306+161+774.9+394.9</f>
        <v>5360.3399999999992</v>
      </c>
      <c r="I44" s="8">
        <f>1477.8+1224+612+14645+1595.77+455+2918.83+385.2+105+571.69+378+115.5+253</f>
        <v>24736.79</v>
      </c>
      <c r="J44" s="8">
        <f>104+775.24+848+306+306+306+1020+174+306+2040+1020+2169.6+575</f>
        <v>9949.84</v>
      </c>
      <c r="K44" s="8">
        <f>306+363+208+788+1570+24+261.52+122.5</f>
        <v>3643.02</v>
      </c>
      <c r="L44" s="8">
        <f>306+612+306+306+306+1609.19+720+416</f>
        <v>4581.1900000000005</v>
      </c>
      <c r="M44" s="8">
        <f>306+532+306+520+354+306+1020+2040+1447.8+495+255.5</f>
        <v>7582.3</v>
      </c>
      <c r="N44" s="8">
        <f>1125+532+968+306+1020+2994+634.66+1155.13+379.72+1020+1327.8+204</f>
        <v>11666.31</v>
      </c>
      <c r="O44" s="9">
        <f t="shared" si="1"/>
        <v>148834.34</v>
      </c>
    </row>
    <row r="45" spans="1:15" ht="17.100000000000001" customHeight="1" x14ac:dyDescent="0.3">
      <c r="A45" s="6" t="s">
        <v>98</v>
      </c>
      <c r="B45" s="7" t="s">
        <v>99</v>
      </c>
      <c r="C45" s="8"/>
      <c r="D45" s="8"/>
      <c r="E45" s="8"/>
      <c r="F45" s="8"/>
      <c r="G45" s="8"/>
      <c r="H45" s="8"/>
      <c r="I45" s="8">
        <f>114.75</f>
        <v>114.75</v>
      </c>
      <c r="J45" s="8"/>
      <c r="K45" s="8"/>
      <c r="L45" s="8"/>
      <c r="M45" s="8"/>
      <c r="N45" s="8">
        <f>40</f>
        <v>40</v>
      </c>
      <c r="O45" s="9"/>
    </row>
    <row r="46" spans="1:15" ht="17.100000000000001" customHeight="1" x14ac:dyDescent="0.3">
      <c r="A46" s="6" t="s">
        <v>100</v>
      </c>
      <c r="B46" s="7" t="s">
        <v>101</v>
      </c>
      <c r="C46" s="8">
        <f>239</f>
        <v>239</v>
      </c>
      <c r="D46" s="8"/>
      <c r="E46" s="8">
        <f>253+356</f>
        <v>609</v>
      </c>
      <c r="F46" s="8">
        <f>836</f>
        <v>836</v>
      </c>
      <c r="G46" s="8">
        <f>3486+220</f>
        <v>3706</v>
      </c>
      <c r="H46" s="8">
        <f>848</f>
        <v>848</v>
      </c>
      <c r="I46" s="8">
        <f>732.5+237</f>
        <v>969.5</v>
      </c>
      <c r="J46" s="8"/>
      <c r="K46" s="8">
        <f>1430+270</f>
        <v>1700</v>
      </c>
      <c r="L46" s="8">
        <f>220</f>
        <v>220</v>
      </c>
      <c r="M46" s="8">
        <f>897</f>
        <v>897</v>
      </c>
      <c r="N46" s="8">
        <f>319</f>
        <v>319</v>
      </c>
      <c r="O46" s="9">
        <f t="shared" si="1"/>
        <v>10343.5</v>
      </c>
    </row>
    <row r="47" spans="1:15" ht="17.100000000000001" customHeight="1" x14ac:dyDescent="0.3">
      <c r="A47" s="10" t="s">
        <v>102</v>
      </c>
      <c r="B47" s="11" t="s">
        <v>103</v>
      </c>
      <c r="C47" s="4">
        <f>SUM(C48:C49)</f>
        <v>11880.02</v>
      </c>
      <c r="D47" s="4">
        <f t="shared" ref="D47:I47" si="16">SUM(D48:D49)</f>
        <v>18656.62</v>
      </c>
      <c r="E47" s="4">
        <f>SUM(E48:E49)</f>
        <v>8016.82</v>
      </c>
      <c r="F47" s="4">
        <f>SUM(F48:F49)</f>
        <v>7911.08</v>
      </c>
      <c r="G47" s="4">
        <f>SUM(G48:G49)</f>
        <v>11719.36</v>
      </c>
      <c r="H47" s="4">
        <f t="shared" si="16"/>
        <v>7618.45</v>
      </c>
      <c r="I47" s="4">
        <f t="shared" si="16"/>
        <v>7440.2699999999995</v>
      </c>
      <c r="J47" s="4">
        <f>SUM(J48:J49)</f>
        <v>1069</v>
      </c>
      <c r="K47" s="4">
        <f>SUM(K48:K49)</f>
        <v>312</v>
      </c>
      <c r="L47" s="4">
        <f>SUM(L48:L49)</f>
        <v>6757.5</v>
      </c>
      <c r="M47" s="4">
        <f>SUM(M48:M49)</f>
        <v>5065.2300000000005</v>
      </c>
      <c r="N47" s="4">
        <f>SUM(N48:N49)</f>
        <v>1673.9</v>
      </c>
      <c r="O47" s="5">
        <f t="shared" si="1"/>
        <v>88120.25</v>
      </c>
    </row>
    <row r="48" spans="1:15" ht="17.100000000000001" customHeight="1" x14ac:dyDescent="0.3">
      <c r="A48" s="6" t="s">
        <v>104</v>
      </c>
      <c r="B48" s="7" t="s">
        <v>105</v>
      </c>
      <c r="C48" s="8">
        <f>1554.54+1252.29+180+90+1677.77+180+660.36+1320.72+1517.22+90+2135.12+530+96</f>
        <v>11284.02</v>
      </c>
      <c r="D48" s="8">
        <f>655.02+3074.96+1735.76+895+96+526+1709.75+1952+516+1453+704.99+3589.94+192+96.2+1040</f>
        <v>18236.62</v>
      </c>
      <c r="E48" s="8">
        <f>454.5+504+96+384.6+180+1278.6+192+819+96+180+1792.32+1745.8</f>
        <v>7722.82</v>
      </c>
      <c r="F48" s="8">
        <f>192+192+530+572+1172+2251.08+96+980+96+894+576</f>
        <v>7551.08</v>
      </c>
      <c r="G48" s="8">
        <f>961.54+96+96+2699.04+935.1+96+753.35+895.95+2196.02+771.16+1807.2+192</f>
        <v>11499.36</v>
      </c>
      <c r="H48" s="8">
        <f>549.6+288+1445.6+96+192+1933.93+192.4+960+1700.92</f>
        <v>7358.45</v>
      </c>
      <c r="I48" s="8">
        <f>1558+894.53+516+1908+192+1347.58+628.16+96</f>
        <v>7140.2699999999995</v>
      </c>
      <c r="J48" s="8">
        <f>288+96+192+20+193</f>
        <v>789</v>
      </c>
      <c r="K48" s="8">
        <f>192</f>
        <v>192</v>
      </c>
      <c r="L48" s="8">
        <f>192+475+1035+480+96+954+440+288+857.8+843.7+576</f>
        <v>6237.5</v>
      </c>
      <c r="M48" s="8">
        <f>1337.76+192+96.2+1156.17+684.9+1146+96+96.2</f>
        <v>4805.2300000000005</v>
      </c>
      <c r="N48" s="8">
        <f>535.1+96+346.5+476.3</f>
        <v>1453.9</v>
      </c>
      <c r="O48" s="9">
        <f t="shared" si="1"/>
        <v>84270.249999999985</v>
      </c>
    </row>
    <row r="49" spans="1:15" ht="17.100000000000001" customHeight="1" x14ac:dyDescent="0.3">
      <c r="A49" s="6" t="s">
        <v>106</v>
      </c>
      <c r="B49" s="7" t="s">
        <v>107</v>
      </c>
      <c r="C49" s="8">
        <f>34+17+34+34+17+34+136+51+51+17+51+100+20</f>
        <v>596</v>
      </c>
      <c r="D49" s="8">
        <f>20+20+20+40+40+20+60+20+40+20+20+40+60</f>
        <v>420</v>
      </c>
      <c r="E49" s="8">
        <f>20+54+40+20+40+60+40+20</f>
        <v>294</v>
      </c>
      <c r="F49" s="8">
        <f>20+80+20+20+40+20+40+80+20+20</f>
        <v>360</v>
      </c>
      <c r="G49" s="8">
        <f>20+20+60+20+20+20+20+20+20</f>
        <v>220</v>
      </c>
      <c r="H49" s="8">
        <f>20+20+20+20+20+20+20+40+40+40</f>
        <v>260</v>
      </c>
      <c r="I49" s="8">
        <f>20+20+40+20+20+20+20+20+120</f>
        <v>300</v>
      </c>
      <c r="J49" s="8">
        <f>100+20+20+20+40+40+20+20</f>
        <v>280</v>
      </c>
      <c r="K49" s="8">
        <f>20+20+20+60</f>
        <v>120</v>
      </c>
      <c r="L49" s="8">
        <f>20+20+20+80+60+120+80+40+40+40</f>
        <v>520</v>
      </c>
      <c r="M49" s="8">
        <f>40+60+20+20+20+40+20+40</f>
        <v>260</v>
      </c>
      <c r="N49" s="8">
        <f>20+20+40+20+20+20+40+20+20</f>
        <v>220</v>
      </c>
      <c r="O49" s="9">
        <f t="shared" si="1"/>
        <v>3850</v>
      </c>
    </row>
    <row r="50" spans="1:15" ht="17.100000000000001" customHeight="1" x14ac:dyDescent="0.3">
      <c r="A50" s="10" t="s">
        <v>108</v>
      </c>
      <c r="B50" s="11" t="s">
        <v>109</v>
      </c>
      <c r="C50" s="4">
        <f>SUM(C51:C52)</f>
        <v>1426</v>
      </c>
      <c r="D50" s="4">
        <f t="shared" ref="D50:M50" si="17">SUM(D51:D52)</f>
        <v>492</v>
      </c>
      <c r="E50" s="4">
        <f t="shared" si="17"/>
        <v>1131</v>
      </c>
      <c r="F50" s="4">
        <f>SUM(F51:F52)</f>
        <v>1057.5</v>
      </c>
      <c r="G50" s="4">
        <f>SUM(G51:G52)</f>
        <v>738</v>
      </c>
      <c r="H50" s="4">
        <f t="shared" si="17"/>
        <v>738</v>
      </c>
      <c r="I50" s="4">
        <f>I51+I52</f>
        <v>879</v>
      </c>
      <c r="J50" s="4">
        <f>SUM(J51:J52)</f>
        <v>2114.5</v>
      </c>
      <c r="K50" s="4">
        <f>SUM(K51:K52)</f>
        <v>246</v>
      </c>
      <c r="L50" s="4">
        <f>SUM(L51:L52)</f>
        <v>1131</v>
      </c>
      <c r="M50" s="4">
        <f t="shared" si="17"/>
        <v>1303</v>
      </c>
      <c r="N50" s="4">
        <f>SUM(N51:N52)</f>
        <v>1057</v>
      </c>
      <c r="O50" s="5">
        <f t="shared" si="1"/>
        <v>12313</v>
      </c>
    </row>
    <row r="51" spans="1:15" ht="17.100000000000001" customHeight="1" x14ac:dyDescent="0.3">
      <c r="A51" s="6" t="s">
        <v>110</v>
      </c>
      <c r="B51" s="7" t="s">
        <v>111</v>
      </c>
      <c r="C51" s="8">
        <f>246+246+123+123+123+123+123+123+123</f>
        <v>1353</v>
      </c>
      <c r="D51" s="8">
        <f>246+123+123</f>
        <v>492</v>
      </c>
      <c r="E51" s="8">
        <f>123+123+123+246+123+123+123</f>
        <v>984</v>
      </c>
      <c r="F51" s="8">
        <f>123+246+246+123+123+123</f>
        <v>984</v>
      </c>
      <c r="G51" s="8">
        <f>123+123+369+123</f>
        <v>738</v>
      </c>
      <c r="H51" s="8">
        <f>123+123+246+123+123</f>
        <v>738</v>
      </c>
      <c r="I51" s="8">
        <f>123+190+123+246+123</f>
        <v>805</v>
      </c>
      <c r="J51" s="8">
        <f>369+123+123+246+246+369+123</f>
        <v>1599</v>
      </c>
      <c r="K51" s="8">
        <f>123+123</f>
        <v>246</v>
      </c>
      <c r="L51" s="8">
        <f>246+123+123+246+123+123</f>
        <v>984</v>
      </c>
      <c r="M51" s="8">
        <f>123+246+246+123+123+123+123+123</f>
        <v>1230</v>
      </c>
      <c r="N51" s="8">
        <f>123+123+123+123+123+123+123+123</f>
        <v>984</v>
      </c>
      <c r="O51" s="9">
        <f t="shared" si="1"/>
        <v>11137</v>
      </c>
    </row>
    <row r="52" spans="1:15" ht="17.100000000000001" customHeight="1" x14ac:dyDescent="0.3">
      <c r="A52" s="6" t="s">
        <v>112</v>
      </c>
      <c r="B52" s="7" t="s">
        <v>113</v>
      </c>
      <c r="C52" s="8">
        <f>73</f>
        <v>73</v>
      </c>
      <c r="D52" s="8"/>
      <c r="E52" s="8">
        <f>73.5+73.5</f>
        <v>147</v>
      </c>
      <c r="F52" s="8">
        <f>73.5</f>
        <v>73.5</v>
      </c>
      <c r="G52" s="8"/>
      <c r="H52" s="8"/>
      <c r="I52" s="8">
        <f>74</f>
        <v>74</v>
      </c>
      <c r="J52" s="8">
        <f>148+147+73.5+147</f>
        <v>515.5</v>
      </c>
      <c r="K52" s="8"/>
      <c r="L52" s="8">
        <f>147</f>
        <v>147</v>
      </c>
      <c r="M52" s="8">
        <f>73</f>
        <v>73</v>
      </c>
      <c r="N52" s="8">
        <f>73</f>
        <v>73</v>
      </c>
      <c r="O52" s="9">
        <f t="shared" si="1"/>
        <v>1176</v>
      </c>
    </row>
    <row r="53" spans="1:15" ht="17.100000000000001" customHeight="1" x14ac:dyDescent="0.3">
      <c r="A53" s="10" t="s">
        <v>114</v>
      </c>
      <c r="B53" s="11" t="s">
        <v>115</v>
      </c>
      <c r="C53" s="4">
        <f>SUM(C54:C57)</f>
        <v>3970905.7500000014</v>
      </c>
      <c r="D53" s="4">
        <f t="shared" ref="D53:M53" si="18">SUM(D54:D57)</f>
        <v>1673232.26</v>
      </c>
      <c r="E53" s="4">
        <f t="shared" si="18"/>
        <v>536419.14999999991</v>
      </c>
      <c r="F53" s="4">
        <f>SUM(F54:F57)</f>
        <v>194705.76000000004</v>
      </c>
      <c r="G53" s="4">
        <f>SUM(G54:G57)</f>
        <v>100440.93000000001</v>
      </c>
      <c r="H53" s="4">
        <f t="shared" si="18"/>
        <v>79006.37</v>
      </c>
      <c r="I53" s="4">
        <f t="shared" si="18"/>
        <v>56842.819999999992</v>
      </c>
      <c r="J53" s="4">
        <f>SUM(J54:J57)</f>
        <v>51973.08</v>
      </c>
      <c r="K53" s="4">
        <f t="shared" si="18"/>
        <v>112570.65</v>
      </c>
      <c r="L53" s="4">
        <f>SUM(L54:L57)</f>
        <v>49215.78</v>
      </c>
      <c r="M53" s="4">
        <f t="shared" si="18"/>
        <v>67962.829999999987</v>
      </c>
      <c r="N53" s="4">
        <f>SUM(N54:N57)</f>
        <v>62109.88</v>
      </c>
      <c r="O53" s="5">
        <f t="shared" si="1"/>
        <v>6955385.2600000026</v>
      </c>
    </row>
    <row r="54" spans="1:15" ht="17.100000000000001" customHeight="1" x14ac:dyDescent="0.3">
      <c r="A54" s="13" t="s">
        <v>116</v>
      </c>
      <c r="B54" s="14" t="s">
        <v>117</v>
      </c>
      <c r="C54" s="8">
        <f>48766.79+103658.93+152598.87+158866.1+176032.03+190043.92+170515.62+147125.22+136438.57+141255.93+88530.34+132034.12+141980.77+112430.97+133492.78+130952.44+140337.47+127363.47+84664.7+117991.08+126162.99+120654.16</f>
        <v>2881897.2700000009</v>
      </c>
      <c r="D54" s="8">
        <f>95866.08+53938.84+60291.95+105481.11+81715.52+102360.87+139141.73+98895.94+40867.22+141853.51+104706.33+43870.05+161308.72</f>
        <v>1230297.8699999999</v>
      </c>
      <c r="E54" s="8">
        <f>159502.27+45707.42+38290.12+49693.37+46160.85+53052.48</f>
        <v>392406.50999999995</v>
      </c>
      <c r="F54" s="8">
        <f>71903.77+44673.21+31464.57</f>
        <v>148041.55000000002</v>
      </c>
      <c r="G54" s="8">
        <f>52030.97+25920.72</f>
        <v>77951.69</v>
      </c>
      <c r="H54" s="8">
        <f>52314.27+10271.3</f>
        <v>62585.569999999992</v>
      </c>
      <c r="I54" s="8">
        <f>26320.17+17838.84</f>
        <v>44159.009999999995</v>
      </c>
      <c r="J54" s="8">
        <f>18202.63+21851.57</f>
        <v>40054.199999999997</v>
      </c>
      <c r="K54" s="8">
        <f>60495.7+27451.98</f>
        <v>87947.68</v>
      </c>
      <c r="L54" s="8">
        <f>5855.89+10287.04+22206.32</f>
        <v>38349.25</v>
      </c>
      <c r="M54" s="8">
        <f>25612.47+28900.26</f>
        <v>54512.729999999996</v>
      </c>
      <c r="N54" s="8">
        <f>20567.49+29285.59</f>
        <v>49853.08</v>
      </c>
      <c r="O54" s="9">
        <f t="shared" si="1"/>
        <v>5108056.4100000011</v>
      </c>
    </row>
    <row r="55" spans="1:15" ht="17.100000000000001" customHeight="1" x14ac:dyDescent="0.3">
      <c r="A55" s="13" t="s">
        <v>118</v>
      </c>
      <c r="B55" s="14" t="s">
        <v>119</v>
      </c>
      <c r="C55" s="8">
        <f>14519.68+32240.79+44827.63+45941.41+49868.98+54113.11+49851.34+43916.89+41978.67+39460.55+26722.39+38813.16+39455.24+33556.12+38300.4+37548.68+41467.44+36756.31+25556.1+34349.27+36119.04+32941.17</f>
        <v>838304.37000000034</v>
      </c>
      <c r="D55" s="8">
        <f>27215.39+16304.87+16927.82+28350.62+22528.01+28259.67+38641.84+27080.61+10989.79+39757.32+30964.16+12343.51+40216.46</f>
        <v>339580.07000000007</v>
      </c>
      <c r="E55" s="8">
        <f>44146.98+12928.48+15665.96+13374.15+12791.17+12059.53</f>
        <v>110966.27</v>
      </c>
      <c r="F55" s="8">
        <f>18236.98+9243.44+8414.87</f>
        <v>35895.29</v>
      </c>
      <c r="G55" s="8">
        <f>10578.76+6720.52</f>
        <v>17299.28</v>
      </c>
      <c r="H55" s="8">
        <f>10169.2+2531.97</f>
        <v>12701.17</v>
      </c>
      <c r="I55" s="8">
        <f>5403.03+4353.67</f>
        <v>9756.7000000000007</v>
      </c>
      <c r="J55" s="8">
        <f>4203.76+4964.54</f>
        <v>9168.2999999999993</v>
      </c>
      <c r="K55" s="8">
        <f>14132.98+4282.11</f>
        <v>18415.09</v>
      </c>
      <c r="L55" s="8">
        <f>1301.62+3150.52+3906.68</f>
        <v>8358.82</v>
      </c>
      <c r="M55" s="8">
        <f>5033.24+5312.96</f>
        <v>10346.200000000001</v>
      </c>
      <c r="N55" s="8">
        <f>2936.05+6530.93</f>
        <v>9466.98</v>
      </c>
      <c r="O55" s="9">
        <f t="shared" si="1"/>
        <v>1420258.5400000005</v>
      </c>
    </row>
    <row r="56" spans="1:15" ht="17.100000000000001" customHeight="1" x14ac:dyDescent="0.3">
      <c r="A56" s="13" t="s">
        <v>120</v>
      </c>
      <c r="B56" s="14" t="s">
        <v>121</v>
      </c>
      <c r="C56" s="8">
        <f>4356.04+9276.84+13448.78+13782.92+14961.2+15884.44+14955.94+13175.57+12594.09+11838.6+8017.07+11644.38+11837.02+10067.27+11490.55+11265.01+12044.95+11027.28+7667.08+10650.25+10836.11+9882.72</f>
        <v>250704.11000000002</v>
      </c>
      <c r="D56" s="8">
        <f>8164.85+4891.66+5078.56+8505.5+6758.67+8478.24+11709.86+8124.44+3297.06+11927.64+9289.52+3703.18+13425.14</f>
        <v>103354.31999999999</v>
      </c>
      <c r="E56" s="8">
        <f>14835.43+3878.69+3030.19+3846.61+3837.49+3617.96</f>
        <v>33046.369999999995</v>
      </c>
      <c r="F56" s="8">
        <f>5471.27+2773.12+2524.53</f>
        <v>10768.92</v>
      </c>
      <c r="G56" s="8">
        <f>3173.72+2016.24</f>
        <v>5189.96</v>
      </c>
      <c r="H56" s="8">
        <f>2960.02+759.61</f>
        <v>3719.63</v>
      </c>
      <c r="I56" s="8">
        <f>1620.96+1306.15</f>
        <v>2927.11</v>
      </c>
      <c r="J56" s="8">
        <f>1261.17+1489.41</f>
        <v>2750.58</v>
      </c>
      <c r="K56" s="8">
        <f>4505.42+1702.46</f>
        <v>6207.88</v>
      </c>
      <c r="L56" s="8">
        <f>390.49+945.18+1172.04</f>
        <v>2507.71</v>
      </c>
      <c r="M56" s="8">
        <f>1510+1593.9</f>
        <v>3103.9</v>
      </c>
      <c r="N56" s="8">
        <f>830.48+1959.34</f>
        <v>2789.8199999999997</v>
      </c>
      <c r="O56" s="9">
        <f t="shared" si="1"/>
        <v>427070.31000000006</v>
      </c>
    </row>
    <row r="57" spans="1:15" ht="17.100000000000001" customHeight="1" x14ac:dyDescent="0.3">
      <c r="A57" s="6" t="s">
        <v>122</v>
      </c>
      <c r="B57" s="7" t="s">
        <v>123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9">
        <f t="shared" si="1"/>
        <v>0</v>
      </c>
    </row>
    <row r="58" spans="1:15" ht="17.100000000000001" customHeight="1" x14ac:dyDescent="0.3">
      <c r="A58" s="10" t="s">
        <v>124</v>
      </c>
      <c r="B58" s="11" t="s">
        <v>125</v>
      </c>
      <c r="C58" s="4">
        <f>SUM(C59:C61)</f>
        <v>50792</v>
      </c>
      <c r="D58" s="4">
        <f t="shared" ref="D58:N58" si="19">SUM(D59:D61)</f>
        <v>19184</v>
      </c>
      <c r="E58" s="4">
        <f t="shared" si="19"/>
        <v>20119</v>
      </c>
      <c r="F58" s="4">
        <f>SUM(F59:F61)</f>
        <v>20177</v>
      </c>
      <c r="G58" s="4">
        <f>SUM(G59:G61)</f>
        <v>19850</v>
      </c>
      <c r="H58" s="4">
        <f t="shared" si="19"/>
        <v>23932</v>
      </c>
      <c r="I58" s="4">
        <f t="shared" si="19"/>
        <v>21926</v>
      </c>
      <c r="J58" s="4">
        <f t="shared" si="19"/>
        <v>14348</v>
      </c>
      <c r="K58" s="4">
        <f t="shared" si="19"/>
        <v>14166</v>
      </c>
      <c r="L58" s="4">
        <f>SUM(L59:L61)</f>
        <v>29716</v>
      </c>
      <c r="M58" s="4">
        <f t="shared" si="19"/>
        <v>19948</v>
      </c>
      <c r="N58" s="4">
        <f t="shared" si="19"/>
        <v>29987</v>
      </c>
      <c r="O58" s="5">
        <f t="shared" si="1"/>
        <v>284145</v>
      </c>
    </row>
    <row r="59" spans="1:15" ht="17.100000000000001" customHeight="1" x14ac:dyDescent="0.3">
      <c r="A59" s="6" t="s">
        <v>126</v>
      </c>
      <c r="B59" s="7" t="s">
        <v>127</v>
      </c>
      <c r="C59" s="8">
        <f>4167+322+2175+3015+1288+75+3456+2017+75+902+1341+1052+1505</f>
        <v>21390</v>
      </c>
      <c r="D59" s="8">
        <f>75+301+2318+365+354+1148+75+912+43+75+150+988+611+794</f>
        <v>8209</v>
      </c>
      <c r="E59" s="8">
        <f>161+1805+558+698+1546+161+2525+472+1320+129+75+258</f>
        <v>9708</v>
      </c>
      <c r="F59" s="8">
        <f>43+891+247+473+150+1052+708+43+730+1158+891+150+86+75+440+1535+860</f>
        <v>9532</v>
      </c>
      <c r="G59" s="8">
        <f>440+43+1170+43+43+859+483+859+750+483+665+1117+472+440+311+515</f>
        <v>8693</v>
      </c>
      <c r="H59" s="8">
        <f>193+268+934+43+1450+1898+903+376+1535+322+129+2275+708</f>
        <v>11034</v>
      </c>
      <c r="I59" s="8">
        <f>1449+1845+75+816+601+515+1171+1160+719+1075+440+86</f>
        <v>9952</v>
      </c>
      <c r="J59" s="8">
        <f>279+816+1106+1772+129+815+118+75+397+86+1023+1093+528</f>
        <v>8237</v>
      </c>
      <c r="K59" s="8">
        <f>1417+290+1075+558+129+311+43+601+75+1224+397</f>
        <v>6120</v>
      </c>
      <c r="L59" s="8">
        <f>311+1599+43+2175+161+1041+1729+236+1449+1032+227+3640+150+3029</f>
        <v>16822</v>
      </c>
      <c r="M59" s="8">
        <f>645+150+601+806+150+1384+1074+655+118+215+750+1116+161+934+150+161+43</f>
        <v>9113</v>
      </c>
      <c r="N59" s="8">
        <f>849+483+645+161+859+2061+483+75+1191+75+750+1159+365+75+1001+773+333+2384+43</f>
        <v>13765</v>
      </c>
      <c r="O59" s="9">
        <f t="shared" si="1"/>
        <v>132575</v>
      </c>
    </row>
    <row r="60" spans="1:15" ht="17.100000000000001" customHeight="1" x14ac:dyDescent="0.3">
      <c r="A60" s="6" t="s">
        <v>128</v>
      </c>
      <c r="B60" s="7" t="s">
        <v>129</v>
      </c>
      <c r="C60" s="8">
        <f>368+46+667+529+184+23+506+368+23+92+253+138</f>
        <v>3197</v>
      </c>
      <c r="D60" s="8">
        <f>23+368+46+69+207+23+161+23+46+92+161+138</f>
        <v>1357</v>
      </c>
      <c r="E60" s="8">
        <f>23+92+92+69+184+23+391+92+207+23+23</f>
        <v>1219</v>
      </c>
      <c r="F60" s="8">
        <f>115+23+46+138+138+92+276+115+46+23+69+207</f>
        <v>1288</v>
      </c>
      <c r="G60" s="8">
        <f>69+161+92+129+92+230+69+138+354+92+69+69+92</f>
        <v>1656</v>
      </c>
      <c r="H60" s="8">
        <f>46+69+115+115+437+162+23+207+46+368+138</f>
        <v>1726</v>
      </c>
      <c r="I60" s="8">
        <f>207+368+23+92+92+92+69+92+115+69</f>
        <v>1219</v>
      </c>
      <c r="J60" s="8">
        <f>46+92+115+161+69+23+23+69+92</f>
        <v>690</v>
      </c>
      <c r="K60" s="8">
        <f>184+23+92+69+92+23+138+69</f>
        <v>690</v>
      </c>
      <c r="L60" s="8">
        <f>69+253+23+161+161+66+207+23+46+92</f>
        <v>1101</v>
      </c>
      <c r="M60" s="8">
        <f>46+92+23+46+253+92+69+23+230+184+23+115+46+23</f>
        <v>1265</v>
      </c>
      <c r="N60" s="8">
        <f>23+69+23+92+276+69+23+207+23+230+184+46+23+161+92+23+345</f>
        <v>1909</v>
      </c>
      <c r="O60" s="9">
        <f t="shared" si="1"/>
        <v>17317</v>
      </c>
    </row>
    <row r="61" spans="1:15" ht="17.100000000000001" customHeight="1" x14ac:dyDescent="0.3">
      <c r="A61" s="6" t="s">
        <v>130</v>
      </c>
      <c r="B61" s="7" t="s">
        <v>131</v>
      </c>
      <c r="C61" s="8">
        <f>3786+210+3045+4035+1704+105+4578+2490+105+1176+1803+1278+1890</f>
        <v>26205</v>
      </c>
      <c r="D61" s="8">
        <f>105+378+3084+264+267+1539+1005+54+1284+735+903</f>
        <v>9618</v>
      </c>
      <c r="E61" s="8">
        <f>105+1125+585+909+1974+105+1785+636+1755+108+105</f>
        <v>9192</v>
      </c>
      <c r="F61" s="8">
        <f>54+1173+321+594+1065+420+852+1530+1173+105+108+585+1377</f>
        <v>9357</v>
      </c>
      <c r="G61" s="8">
        <f>585+54+1545+1122+639+1122+1050+639+420+630+210+585+210+690</f>
        <v>9501</v>
      </c>
      <c r="H61" s="8">
        <f>1227+1875+1848+483+2025+210+54+3030+420</f>
        <v>11172</v>
      </c>
      <c r="I61" s="8">
        <f>1809+2490+1068+474+690+1287+1500+852+585</f>
        <v>10755</v>
      </c>
      <c r="J61" s="8">
        <f>210+1068+1335+630+162+585+105+105+531+690</f>
        <v>5421</v>
      </c>
      <c r="K61" s="8">
        <f>1812+267+585+162+315+54+636+2040+954+531</f>
        <v>7356</v>
      </c>
      <c r="L61" s="8">
        <f>315+2019+2370+105+735+1929+210+1215+1296+267+210+1122</f>
        <v>11793</v>
      </c>
      <c r="M61" s="8">
        <f>690+915+210+1857+1287+855+105+54+1050+1488+105+849+105</f>
        <v>9570</v>
      </c>
      <c r="N61" s="8">
        <f>54+639+810+105+1068+2718+375+1008+105+1050+735+375+1011+960+429+2871</f>
        <v>14313</v>
      </c>
      <c r="O61" s="9">
        <f t="shared" si="1"/>
        <v>134253</v>
      </c>
    </row>
    <row r="62" spans="1:15" ht="17.100000000000001" customHeight="1" x14ac:dyDescent="0.3">
      <c r="A62" s="10" t="s">
        <v>132</v>
      </c>
      <c r="B62" s="11" t="s">
        <v>133</v>
      </c>
      <c r="C62" s="4">
        <f>SUM(C63:C65)</f>
        <v>2211</v>
      </c>
      <c r="D62" s="4">
        <f t="shared" ref="D62:N62" si="20">SUM(D63:D65)</f>
        <v>2284</v>
      </c>
      <c r="E62" s="4">
        <f>SUM(E63:E65)</f>
        <v>1005</v>
      </c>
      <c r="F62" s="4">
        <f>SUM(F63:F65)</f>
        <v>2883</v>
      </c>
      <c r="G62" s="4">
        <f>SUM(G63:G65)</f>
        <v>1072</v>
      </c>
      <c r="H62" s="4">
        <f t="shared" si="20"/>
        <v>1945</v>
      </c>
      <c r="I62" s="4">
        <f t="shared" si="20"/>
        <v>3088</v>
      </c>
      <c r="J62" s="4">
        <f t="shared" si="20"/>
        <v>1476</v>
      </c>
      <c r="K62" s="4">
        <f t="shared" si="20"/>
        <v>1340</v>
      </c>
      <c r="L62" s="4">
        <f>SUM(L63:L65)</f>
        <v>2615</v>
      </c>
      <c r="M62" s="4">
        <f t="shared" si="20"/>
        <v>1612</v>
      </c>
      <c r="N62" s="4">
        <f t="shared" si="20"/>
        <v>2556</v>
      </c>
      <c r="O62" s="5">
        <f t="shared" si="1"/>
        <v>24087</v>
      </c>
    </row>
    <row r="63" spans="1:15" ht="17.100000000000001" customHeight="1" x14ac:dyDescent="0.3">
      <c r="A63" s="6" t="s">
        <v>134</v>
      </c>
      <c r="B63" s="7" t="s">
        <v>135</v>
      </c>
      <c r="C63" s="8">
        <f>67+134+67+67+67+737+67+201</f>
        <v>1407</v>
      </c>
      <c r="D63" s="8">
        <f>67+134+67+1078+67+67</f>
        <v>1480</v>
      </c>
      <c r="E63" s="8">
        <f>67+67+67+67+67+67+67</f>
        <v>469</v>
      </c>
      <c r="F63" s="8">
        <f>67+603+201+134+67+67+67+337</f>
        <v>1543</v>
      </c>
      <c r="G63" s="8">
        <f>67+67+67+201+67+67</f>
        <v>536</v>
      </c>
      <c r="H63" s="8">
        <f>67+67+67+67+134+67+404</f>
        <v>873</v>
      </c>
      <c r="I63" s="8">
        <f>404+134+67+67+67+67+337+337</f>
        <v>1480</v>
      </c>
      <c r="J63" s="8">
        <f>67+67+67+337+67+67+67+67+134</f>
        <v>940</v>
      </c>
      <c r="K63" s="8">
        <f>67+134+67</f>
        <v>268</v>
      </c>
      <c r="L63" s="8">
        <f>134+67+67+67+337+67+67+134+67</f>
        <v>1007</v>
      </c>
      <c r="M63" s="8">
        <f>67+67+67+67+134+67+337+67+404+67</f>
        <v>1344</v>
      </c>
      <c r="N63" s="8">
        <f>337+67+268+404+67+67+67+337+67+67+67+404+337</f>
        <v>2556</v>
      </c>
      <c r="O63" s="9">
        <f t="shared" si="1"/>
        <v>13903</v>
      </c>
    </row>
    <row r="64" spans="1:15" ht="17.100000000000001" customHeight="1" x14ac:dyDescent="0.3">
      <c r="A64" s="6" t="s">
        <v>136</v>
      </c>
      <c r="B64" s="7" t="s">
        <v>137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9">
        <f t="shared" si="1"/>
        <v>0</v>
      </c>
    </row>
    <row r="65" spans="1:15" ht="17.100000000000001" customHeight="1" x14ac:dyDescent="0.3">
      <c r="A65" s="6" t="s">
        <v>138</v>
      </c>
      <c r="B65" s="7" t="s">
        <v>139</v>
      </c>
      <c r="C65" s="8">
        <f>536+268</f>
        <v>804</v>
      </c>
      <c r="D65" s="8">
        <f>536+268</f>
        <v>804</v>
      </c>
      <c r="E65" s="8">
        <f>268+268</f>
        <v>536</v>
      </c>
      <c r="F65" s="8">
        <f>1072+268</f>
        <v>1340</v>
      </c>
      <c r="G65" s="8">
        <f>268+268</f>
        <v>536</v>
      </c>
      <c r="H65" s="8">
        <f>536+536</f>
        <v>1072</v>
      </c>
      <c r="I65" s="8">
        <f>1608</f>
        <v>1608</v>
      </c>
      <c r="J65" s="8">
        <f>536</f>
        <v>536</v>
      </c>
      <c r="K65" s="8">
        <f>268+268+536</f>
        <v>1072</v>
      </c>
      <c r="L65" s="8">
        <f>268+268+268+804</f>
        <v>1608</v>
      </c>
      <c r="M65" s="8">
        <f>268</f>
        <v>268</v>
      </c>
      <c r="N65" s="8"/>
      <c r="O65" s="9">
        <f t="shared" si="1"/>
        <v>10184</v>
      </c>
    </row>
    <row r="66" spans="1:15" ht="17.100000000000001" customHeight="1" x14ac:dyDescent="0.3">
      <c r="A66" s="10" t="s">
        <v>140</v>
      </c>
      <c r="B66" s="11" t="s">
        <v>141</v>
      </c>
      <c r="C66" s="4">
        <f>SUM(C67:C68)</f>
        <v>81924</v>
      </c>
      <c r="D66" s="4">
        <f t="shared" ref="D66:N66" si="21">SUM(D67:D68)</f>
        <v>66079</v>
      </c>
      <c r="E66" s="4">
        <f>SUM(E67:E68)</f>
        <v>45026</v>
      </c>
      <c r="F66" s="4">
        <f>SUM(F67:F68)</f>
        <v>43559</v>
      </c>
      <c r="G66" s="4">
        <f>SUM(G67:G68)</f>
        <v>34937</v>
      </c>
      <c r="H66" s="4">
        <f t="shared" si="21"/>
        <v>38533</v>
      </c>
      <c r="I66" s="4">
        <f t="shared" si="21"/>
        <v>51357</v>
      </c>
      <c r="J66" s="4">
        <f t="shared" si="21"/>
        <v>51724</v>
      </c>
      <c r="K66" s="4">
        <f t="shared" si="21"/>
        <v>36101</v>
      </c>
      <c r="L66" s="4">
        <f>SUM(L67:L68)</f>
        <v>67295</v>
      </c>
      <c r="M66" s="4">
        <f>SUM(M67:M68)</f>
        <v>46104</v>
      </c>
      <c r="N66" s="4">
        <f t="shared" si="21"/>
        <v>51093</v>
      </c>
      <c r="O66" s="5">
        <f t="shared" si="1"/>
        <v>613732</v>
      </c>
    </row>
    <row r="67" spans="1:15" ht="17.100000000000001" customHeight="1" x14ac:dyDescent="0.3">
      <c r="A67" s="6" t="s">
        <v>142</v>
      </c>
      <c r="B67" s="7" t="s">
        <v>143</v>
      </c>
      <c r="C67" s="8">
        <f>67+670+1139+1072+804+469+670+268+1164+1340+1407+1005+737+896+226+67+201+335+67</f>
        <v>12604</v>
      </c>
      <c r="D67" s="8">
        <f>134+134+360+268+201+50+201+201+201+134+201+134+335+335+469+938+616+469+536</f>
        <v>5917</v>
      </c>
      <c r="E67" s="8">
        <f>67+92+134+335+134+67+201+268+469+134+134+159+92+226+25+209</f>
        <v>2746</v>
      </c>
      <c r="F67" s="8">
        <f>92+67+67+67+67+67+92+201+201+318+67+134+134+67+67+67+67+67</f>
        <v>1909</v>
      </c>
      <c r="G67" s="8">
        <f>134+134+134+134+67+67+134+67+67+67+67+67+134+134</f>
        <v>1407</v>
      </c>
      <c r="H67" s="8">
        <f>134+201+201+134+201+134+67+134+67+67+67+67+67+67</f>
        <v>1608</v>
      </c>
      <c r="I67" s="8">
        <f>201+134+134+134+134+67+134+67+268+67+67+67+201+201+67+134</f>
        <v>2077</v>
      </c>
      <c r="J67" s="8">
        <f>67+201+67+134+201+134+134+201+67+67+201+67+134+201+201+201+201</f>
        <v>2479</v>
      </c>
      <c r="K67" s="8">
        <f>87+67+67+201+67+134+67+67+134</f>
        <v>891</v>
      </c>
      <c r="L67" s="8">
        <f>268+67+469+67+201+67+335+268+67+134+134+402+201+67+67+134+268+134</f>
        <v>3350</v>
      </c>
      <c r="M67" s="8">
        <f>201+201+201+67+67+67+67+67+67+134+134+268+67+335+134+67</f>
        <v>2144</v>
      </c>
      <c r="N67" s="8">
        <f>134+67+134+67+134+335+134+134+335+201+938+134+67+134+67+268</f>
        <v>3283</v>
      </c>
      <c r="O67" s="9">
        <f t="shared" si="1"/>
        <v>40415</v>
      </c>
    </row>
    <row r="68" spans="1:15" ht="17.100000000000001" customHeight="1" x14ac:dyDescent="0.3">
      <c r="A68" s="6" t="s">
        <v>144</v>
      </c>
      <c r="B68" s="7" t="s">
        <v>145</v>
      </c>
      <c r="C68" s="8">
        <f>3850+1855+2100+5250+3115+5250+3185+2135+3080+2870+2275+4605+2485+2800+3570+5915+3745+2205+2345+2135+2660+1890</f>
        <v>69320</v>
      </c>
      <c r="D68" s="8">
        <f>3640+4130+2345+2870+3745+1960+4095+1680+2065+4340+2692+3150+4165+2695+3360+3850+4165+2660+2555</f>
        <v>60162</v>
      </c>
      <c r="E68" s="8">
        <f>2170+1715+2555+2205+2275+3430+2765+2940+2275+2450+2590+1925+770+4375+2100+3640+2100</f>
        <v>42280</v>
      </c>
      <c r="F68" s="8">
        <f>560+1645+1855+3360+2205+2240+1365+2310+3570+3780+2275+2555+700+2240+1435+1050+1960+560+560+2695+2730</f>
        <v>41650</v>
      </c>
      <c r="G68" s="8">
        <f>2660+2100+2625+1540+1330+1995+1995+1470+1330+2135+1190+1155+1190+2730+1610+1260+1575+1505+2135</f>
        <v>33530</v>
      </c>
      <c r="H68" s="8">
        <f>1820+3640+1680+1610+1365+2345+1750+1540+2135+3675+3115+2345+1470+1715+1470+630+980+1820+1820</f>
        <v>36925</v>
      </c>
      <c r="I68" s="8">
        <f>2625+2170+2345+1925+1295+2205+1470+2135+1890+1925+2975+2170+3185+2135+910+2240+3115+1015+2940+2030+1855+2660+2065</f>
        <v>49280</v>
      </c>
      <c r="J68" s="8">
        <f>1750+525+1750+1820+2275+2520+3115+3535+2730+945+2485+1610+2905+2975+1820+1050+2065+4900+3360+980+2170+1960</f>
        <v>49245</v>
      </c>
      <c r="K68" s="8">
        <f>4655+2590+1260+2625+910+1540+2590+980+1470+2730+1470+1925+2975+2485+2625+2380</f>
        <v>35210</v>
      </c>
      <c r="L68" s="8">
        <f>6265+3850+2030+5390+7840+4025+3150+2625+3780+3465+2835+1295+2660+1960+1295+1120+1645+2170+2135+3045+1365</f>
        <v>63945</v>
      </c>
      <c r="M68" s="8">
        <f>980+1540+1960+1085+805+1855+2835+1575+2345+2380+1785+1960+1890+1855+6615+2380+2485+2415+2240+2975</f>
        <v>43960</v>
      </c>
      <c r="N68" s="8">
        <f>1610+2835+1995+3605+1435+3045+4200+2240+1785+7630+2975+1470+2450+1260+945+1890+1400+2695+2345</f>
        <v>47810</v>
      </c>
      <c r="O68" s="9">
        <f t="shared" si="1"/>
        <v>573317</v>
      </c>
    </row>
    <row r="69" spans="1:15" ht="17.100000000000001" customHeight="1" x14ac:dyDescent="0.3">
      <c r="A69" s="15" t="s">
        <v>146</v>
      </c>
      <c r="B69" s="16" t="s">
        <v>147</v>
      </c>
      <c r="C69" s="4">
        <f>C70</f>
        <v>0</v>
      </c>
      <c r="D69" s="4">
        <f t="shared" ref="D69:M69" si="22">D70</f>
        <v>0</v>
      </c>
      <c r="E69" s="4">
        <f t="shared" si="22"/>
        <v>0</v>
      </c>
      <c r="F69" s="4">
        <f t="shared" si="22"/>
        <v>0</v>
      </c>
      <c r="G69" s="4">
        <f t="shared" si="22"/>
        <v>0</v>
      </c>
      <c r="H69" s="4">
        <f t="shared" si="22"/>
        <v>0</v>
      </c>
      <c r="I69" s="4">
        <f t="shared" si="22"/>
        <v>0</v>
      </c>
      <c r="J69" s="4">
        <f>J70</f>
        <v>0</v>
      </c>
      <c r="K69" s="4">
        <f>K70</f>
        <v>0</v>
      </c>
      <c r="L69" s="4">
        <f t="shared" si="22"/>
        <v>0</v>
      </c>
      <c r="M69" s="4">
        <f t="shared" si="22"/>
        <v>0</v>
      </c>
      <c r="N69" s="4">
        <f>N70</f>
        <v>0</v>
      </c>
      <c r="O69" s="5">
        <f t="shared" si="1"/>
        <v>0</v>
      </c>
    </row>
    <row r="70" spans="1:15" ht="17.100000000000001" customHeight="1" x14ac:dyDescent="0.3">
      <c r="A70" s="6" t="s">
        <v>148</v>
      </c>
      <c r="B70" s="7" t="s">
        <v>149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9">
        <f t="shared" si="1"/>
        <v>0</v>
      </c>
    </row>
    <row r="71" spans="1:15" ht="17.100000000000001" customHeight="1" x14ac:dyDescent="0.3">
      <c r="A71" s="10" t="s">
        <v>150</v>
      </c>
      <c r="B71" s="11" t="s">
        <v>151</v>
      </c>
      <c r="C71" s="4">
        <f>SUM(C72:C73)</f>
        <v>16950</v>
      </c>
      <c r="D71" s="4">
        <f t="shared" ref="D71:M71" si="23">SUM(D72:D73)</f>
        <v>19782</v>
      </c>
      <c r="E71" s="4">
        <f>SUM(E72:E73)</f>
        <v>28266</v>
      </c>
      <c r="F71" s="4">
        <f>SUM(F72:F73)</f>
        <v>9780</v>
      </c>
      <c r="G71" s="4">
        <f>SUM(G72:G73)</f>
        <v>5728</v>
      </c>
      <c r="H71" s="4">
        <f>SUM(H72:H73)</f>
        <v>11709</v>
      </c>
      <c r="I71" s="4">
        <f t="shared" si="23"/>
        <v>28352</v>
      </c>
      <c r="J71" s="4">
        <f>SUM(J72:J73)</f>
        <v>24890</v>
      </c>
      <c r="K71" s="4">
        <f t="shared" si="23"/>
        <v>13863</v>
      </c>
      <c r="L71" s="4">
        <f>SUM(L72:L73)</f>
        <v>23784</v>
      </c>
      <c r="M71" s="4">
        <f t="shared" si="23"/>
        <v>34661</v>
      </c>
      <c r="N71" s="4">
        <f>SUM(N72:N73)</f>
        <v>23113</v>
      </c>
      <c r="O71" s="5">
        <f t="shared" si="1"/>
        <v>240878</v>
      </c>
    </row>
    <row r="72" spans="1:15" ht="17.100000000000001" customHeight="1" x14ac:dyDescent="0.3">
      <c r="A72" s="6" t="s">
        <v>152</v>
      </c>
      <c r="B72" s="7" t="s">
        <v>153</v>
      </c>
      <c r="C72" s="8">
        <f>56+368+56+112+556+56+417+59+59+236+59+200+627+59+1177+177+236+600+236+118+866</f>
        <v>6330</v>
      </c>
      <c r="D72" s="8">
        <f>59+59+545+118+295+386+59+59+600+377+409+300+118+59+59+59+890+59</f>
        <v>4510</v>
      </c>
      <c r="E72" s="8">
        <f>177+890+309+413+300+59+2416+118+59+300+177+177+236+59</f>
        <v>5690</v>
      </c>
      <c r="F72" s="8">
        <f>59+354+477+177+118+663+177+1163+118</f>
        <v>3306</v>
      </c>
      <c r="G72" s="8">
        <f>177+722+59+727+59</f>
        <v>1744</v>
      </c>
      <c r="H72" s="8">
        <f>954+413+177+177+1463+59</f>
        <v>3243</v>
      </c>
      <c r="I72" s="8">
        <f>118+236+177+59+259+309+759+250+568+59+59+236+1027</f>
        <v>4116</v>
      </c>
      <c r="J72" s="8">
        <f>418+118+200+59+436+118+368+763</f>
        <v>2480</v>
      </c>
      <c r="K72" s="8">
        <f>300+736+736+1118+59+895+59</f>
        <v>3903</v>
      </c>
      <c r="L72" s="8">
        <f>1245+59+59+400+550+586+118+436+427+295+59+177+59+59+177+59+59+59+309</f>
        <v>5192</v>
      </c>
      <c r="M72" s="8">
        <f>118+59+500+59+659+177+177+350+500+59+598+59+118+518</f>
        <v>3951</v>
      </c>
      <c r="N72" s="8">
        <f>677+118+118+59+118+118+59+432</f>
        <v>1699</v>
      </c>
      <c r="O72" s="9">
        <f t="shared" si="1"/>
        <v>46164</v>
      </c>
    </row>
    <row r="73" spans="1:15" ht="17.100000000000001" customHeight="1" x14ac:dyDescent="0.3">
      <c r="A73" s="6" t="s">
        <v>154</v>
      </c>
      <c r="B73" s="7" t="s">
        <v>155</v>
      </c>
      <c r="C73" s="8">
        <f>820+4150+332+3990+166+166+332+166+332+166</f>
        <v>10620</v>
      </c>
      <c r="D73" s="8">
        <f>166+166+166+498+1660+3154+5478+830+166+2490+166+332</f>
        <v>15272</v>
      </c>
      <c r="E73" s="8">
        <f>332+166+1328+664+5312+4648+8798+830+166+332</f>
        <v>22576</v>
      </c>
      <c r="F73" s="8">
        <f>1162+166+498+166+332+498+166+2988+332+166</f>
        <v>6474</v>
      </c>
      <c r="G73" s="8">
        <f>2158+166+498+1162</f>
        <v>3984</v>
      </c>
      <c r="H73" s="8">
        <f>830+166+996+332+3652+2490</f>
        <v>8466</v>
      </c>
      <c r="I73" s="8">
        <f>1826+996+996+2158+3486+2490+1660+1328+498+1826+498+1494+2324+2656</f>
        <v>24236</v>
      </c>
      <c r="J73" s="8">
        <f>6308+1660+332+2324+3320+1826+498+332+1826+332+332+1328+498+498+166+166+166+498</f>
        <v>22410</v>
      </c>
      <c r="K73" s="8">
        <f>498+166+332+332+3320+166+166+332+830+1494+2324</f>
        <v>9960</v>
      </c>
      <c r="L73" s="8">
        <f>4316+166+1660+166+166+498+332+166+332+1494+1162+166+498+2324+664+1328+664+1660+498+332</f>
        <v>18592</v>
      </c>
      <c r="M73" s="8">
        <f>1328+498+830+830+1992+2822+1992+1660+1660+664+664+1162+3984+2158+2822+3154+2490</f>
        <v>30710</v>
      </c>
      <c r="N73" s="8">
        <f>664+3984+1660+1162+332+1494+498+1162+498+664+1660+664+1494+3652+166+166+1328+166</f>
        <v>21414</v>
      </c>
      <c r="O73" s="9">
        <f>SUM(C73:N73)</f>
        <v>194714</v>
      </c>
    </row>
    <row r="74" spans="1:15" ht="17.100000000000001" customHeight="1" x14ac:dyDescent="0.3">
      <c r="A74" s="10" t="s">
        <v>156</v>
      </c>
      <c r="B74" s="11" t="s">
        <v>42</v>
      </c>
      <c r="C74" s="4">
        <f>C75+C76</f>
        <v>29057.429999999997</v>
      </c>
      <c r="D74" s="4">
        <f t="shared" ref="D74:N74" si="24">D75+D76</f>
        <v>11156.01</v>
      </c>
      <c r="E74" s="4">
        <f t="shared" si="24"/>
        <v>7552.41</v>
      </c>
      <c r="F74" s="4">
        <f>F75+F76</f>
        <v>3288.05</v>
      </c>
      <c r="G74" s="4">
        <f t="shared" si="24"/>
        <v>2095.46</v>
      </c>
      <c r="H74" s="4">
        <f t="shared" si="24"/>
        <v>3975.85</v>
      </c>
      <c r="I74" s="4">
        <f t="shared" si="24"/>
        <v>2172.5300000000002</v>
      </c>
      <c r="J74" s="4">
        <f>J75+J76</f>
        <v>2717.75</v>
      </c>
      <c r="K74" s="4">
        <f>K75+K76</f>
        <v>13236.79</v>
      </c>
      <c r="L74" s="4">
        <f>L75+L76</f>
        <v>3227.31</v>
      </c>
      <c r="M74" s="4">
        <f t="shared" si="24"/>
        <v>2683.47</v>
      </c>
      <c r="N74" s="4">
        <f t="shared" si="24"/>
        <v>3806.09</v>
      </c>
      <c r="O74" s="5">
        <f>SUM(C74:N74)</f>
        <v>84969.15</v>
      </c>
    </row>
    <row r="75" spans="1:15" ht="17.100000000000001" customHeight="1" x14ac:dyDescent="0.3">
      <c r="A75" s="13" t="s">
        <v>157</v>
      </c>
      <c r="B75" s="14" t="s">
        <v>158</v>
      </c>
      <c r="C75" s="8"/>
      <c r="D75" s="8"/>
      <c r="E75" s="8"/>
      <c r="F75" s="8"/>
      <c r="G75" s="8"/>
      <c r="H75" s="8"/>
      <c r="I75" s="8">
        <f>251</f>
        <v>251</v>
      </c>
      <c r="J75" s="8">
        <f>25</f>
        <v>25</v>
      </c>
      <c r="K75" s="8">
        <f>25</f>
        <v>25</v>
      </c>
      <c r="L75" s="8">
        <f>25</f>
        <v>25</v>
      </c>
      <c r="M75" s="8">
        <f>535</f>
        <v>535</v>
      </c>
      <c r="N75" s="8">
        <f>25</f>
        <v>25</v>
      </c>
      <c r="O75" s="9">
        <f>SUM(C75:N75)</f>
        <v>886</v>
      </c>
    </row>
    <row r="76" spans="1:15" ht="17.100000000000001" customHeight="1" x14ac:dyDescent="0.3">
      <c r="A76" s="13" t="s">
        <v>159</v>
      </c>
      <c r="B76" s="14" t="s">
        <v>160</v>
      </c>
      <c r="C76" s="8">
        <f>2386.43+1008.21+3500+693+2700+3271.54+974.8+165+400+600+200+1437.19+124.94+300+2346.03+2251.88+1150+641.85+250+1672.47+2650+334.09</f>
        <v>29057.429999999997</v>
      </c>
      <c r="D76" s="8">
        <f>870.08+193.05+300+628.38+1028.6+976.74+2962.17+1648.05+162+504.91+1038.93+50+793.1</f>
        <v>11156.01</v>
      </c>
      <c r="E76" s="8">
        <f>2095.47+50+200+2028.63+1000+2178.31</f>
        <v>7552.41</v>
      </c>
      <c r="F76" s="8">
        <f>1367.71+1670.34+250</f>
        <v>3288.05</v>
      </c>
      <c r="G76" s="8">
        <f>1995.46+100</f>
        <v>2095.46</v>
      </c>
      <c r="H76" s="8">
        <f>3855.85+120</f>
        <v>3975.85</v>
      </c>
      <c r="I76" s="8">
        <f>1245.94+675.59</f>
        <v>1921.5300000000002</v>
      </c>
      <c r="J76" s="8">
        <f>628+2064.75</f>
        <v>2692.75</v>
      </c>
      <c r="K76" s="8">
        <f>9269.37+3942.42</f>
        <v>13211.79</v>
      </c>
      <c r="L76" s="8">
        <f>390.24+600.57+2211.5</f>
        <v>3202.31</v>
      </c>
      <c r="M76" s="8">
        <f>1297.32+851.15</f>
        <v>2148.4699999999998</v>
      </c>
      <c r="N76" s="8">
        <f>1743.09+2038</f>
        <v>3781.09</v>
      </c>
      <c r="O76" s="9"/>
    </row>
    <row r="77" spans="1:15" ht="17.100000000000001" customHeight="1" x14ac:dyDescent="0.3">
      <c r="A77" s="15" t="s">
        <v>161</v>
      </c>
      <c r="B77" s="16" t="s">
        <v>46</v>
      </c>
      <c r="C77" s="4">
        <f>C78+C79</f>
        <v>0</v>
      </c>
      <c r="D77" s="4">
        <f t="shared" ref="D77:N77" si="25">D78+D79</f>
        <v>0</v>
      </c>
      <c r="E77" s="4">
        <f t="shared" si="25"/>
        <v>760</v>
      </c>
      <c r="F77" s="4">
        <f>F78+F79</f>
        <v>0</v>
      </c>
      <c r="G77" s="4">
        <f t="shared" si="25"/>
        <v>0</v>
      </c>
      <c r="H77" s="4">
        <f t="shared" si="25"/>
        <v>0</v>
      </c>
      <c r="I77" s="4">
        <f t="shared" si="25"/>
        <v>0</v>
      </c>
      <c r="J77" s="4">
        <f>J78+J79</f>
        <v>63</v>
      </c>
      <c r="K77" s="4">
        <f>K78+K79</f>
        <v>63</v>
      </c>
      <c r="L77" s="4">
        <f>L78+L79</f>
        <v>63</v>
      </c>
      <c r="M77" s="4">
        <f t="shared" si="25"/>
        <v>0</v>
      </c>
      <c r="N77" s="4">
        <f t="shared" si="25"/>
        <v>63</v>
      </c>
      <c r="O77" s="5">
        <f>SUM(C77:N77)</f>
        <v>1012</v>
      </c>
    </row>
    <row r="78" spans="1:15" ht="17.100000000000001" customHeight="1" x14ac:dyDescent="0.3">
      <c r="A78" s="13" t="s">
        <v>162</v>
      </c>
      <c r="B78" s="14" t="s">
        <v>163</v>
      </c>
      <c r="C78" s="8"/>
      <c r="D78" s="8"/>
      <c r="E78" s="8"/>
      <c r="F78" s="8"/>
      <c r="G78" s="8"/>
      <c r="H78" s="8"/>
      <c r="I78" s="8"/>
      <c r="J78" s="8">
        <f>63</f>
        <v>63</v>
      </c>
      <c r="K78" s="8">
        <f>63</f>
        <v>63</v>
      </c>
      <c r="L78" s="8">
        <f>63</f>
        <v>63</v>
      </c>
      <c r="M78" s="8"/>
      <c r="N78" s="8">
        <f>63</f>
        <v>63</v>
      </c>
      <c r="O78" s="9">
        <f>SUM(C78:N78)</f>
        <v>252</v>
      </c>
    </row>
    <row r="79" spans="1:15" ht="17.100000000000001" customHeight="1" x14ac:dyDescent="0.3">
      <c r="A79" s="13" t="s">
        <v>164</v>
      </c>
      <c r="B79" s="14" t="s">
        <v>165</v>
      </c>
      <c r="C79" s="8"/>
      <c r="D79" s="8"/>
      <c r="E79" s="8">
        <f>760</f>
        <v>760</v>
      </c>
      <c r="F79" s="8"/>
      <c r="G79" s="8"/>
      <c r="H79" s="8"/>
      <c r="I79" s="8"/>
      <c r="J79" s="8"/>
      <c r="K79" s="8"/>
      <c r="L79" s="8"/>
      <c r="M79" s="8"/>
      <c r="N79" s="8"/>
      <c r="O79" s="9"/>
    </row>
    <row r="80" spans="1:15" ht="17.100000000000001" customHeight="1" x14ac:dyDescent="0.3">
      <c r="A80" s="10" t="s">
        <v>166</v>
      </c>
      <c r="B80" s="11" t="s">
        <v>167</v>
      </c>
      <c r="C80" s="4">
        <f>C81</f>
        <v>36766.42</v>
      </c>
      <c r="D80" s="4">
        <f t="shared" ref="D80:L80" si="26">D81</f>
        <v>66015.11</v>
      </c>
      <c r="E80" s="4">
        <f t="shared" si="26"/>
        <v>5865.61</v>
      </c>
      <c r="F80" s="4">
        <f>F81</f>
        <v>4690.4900000000007</v>
      </c>
      <c r="G80" s="4">
        <f>G81</f>
        <v>5224.3900000000003</v>
      </c>
      <c r="H80" s="4">
        <f>H81</f>
        <v>5257.4900000000007</v>
      </c>
      <c r="I80" s="4">
        <f t="shared" si="26"/>
        <v>4411.91</v>
      </c>
      <c r="J80" s="4">
        <f>J81</f>
        <v>3314.05</v>
      </c>
      <c r="K80" s="4">
        <f>K81</f>
        <v>202386.47</v>
      </c>
      <c r="L80" s="4">
        <f t="shared" si="26"/>
        <v>101800.51999999999</v>
      </c>
      <c r="M80" s="4">
        <f>M81</f>
        <v>1297.77</v>
      </c>
      <c r="N80" s="4">
        <f>N81</f>
        <v>816.33999999999992</v>
      </c>
      <c r="O80" s="5">
        <f>SUM(C80:N80)</f>
        <v>437846.57</v>
      </c>
    </row>
    <row r="81" spans="1:15" ht="17.100000000000001" customHeight="1" x14ac:dyDescent="0.3">
      <c r="A81" s="6" t="s">
        <v>168</v>
      </c>
      <c r="B81" s="7" t="s">
        <v>169</v>
      </c>
      <c r="C81" s="8">
        <f>33072.32+140+3554.05+0.02+0.03</f>
        <v>36766.42</v>
      </c>
      <c r="D81" s="8">
        <f>60630.39+5384.72</f>
        <v>66015.11</v>
      </c>
      <c r="E81" s="8">
        <f>5865.61</f>
        <v>5865.61</v>
      </c>
      <c r="F81" s="8">
        <f>0.01+0.04+0.01+4690.43</f>
        <v>4690.4900000000007</v>
      </c>
      <c r="G81" s="8">
        <f>5084.39+140</f>
        <v>5224.3900000000003</v>
      </c>
      <c r="H81" s="8">
        <f>0.02+5257.47</f>
        <v>5257.4900000000007</v>
      </c>
      <c r="I81" s="8">
        <f>0.07+4411.84</f>
        <v>4411.91</v>
      </c>
      <c r="J81" s="8">
        <f>140+3174.05</f>
        <v>3314.05</v>
      </c>
      <c r="K81" s="8">
        <f>140+0.01+0.01+200000+2246.45</f>
        <v>202386.47</v>
      </c>
      <c r="L81" s="8">
        <f>140+140+0.01+100000+140+150+140+1090.51</f>
        <v>101800.51999999999</v>
      </c>
      <c r="M81" s="8">
        <f>0.01+1297.76</f>
        <v>1297.77</v>
      </c>
      <c r="N81" s="8">
        <f>140+0.03+0.07+0.02+0.04+0.02+0.01+676.15</f>
        <v>816.33999999999992</v>
      </c>
      <c r="O81" s="9">
        <f>SUM(C81:N81)</f>
        <v>437846.57</v>
      </c>
    </row>
    <row r="82" spans="1:15" ht="17.100000000000001" customHeight="1" x14ac:dyDescent="0.3">
      <c r="A82" s="12" t="s">
        <v>170</v>
      </c>
      <c r="B82" s="11" t="s">
        <v>171</v>
      </c>
      <c r="C82" s="4">
        <f t="shared" ref="C82:M82" si="27">C83</f>
        <v>0</v>
      </c>
      <c r="D82" s="4">
        <f t="shared" si="27"/>
        <v>0</v>
      </c>
      <c r="E82" s="4">
        <f t="shared" si="27"/>
        <v>0</v>
      </c>
      <c r="F82" s="4">
        <f t="shared" si="27"/>
        <v>0</v>
      </c>
      <c r="G82" s="4">
        <f t="shared" si="27"/>
        <v>0</v>
      </c>
      <c r="H82" s="4">
        <f t="shared" si="27"/>
        <v>0</v>
      </c>
      <c r="I82" s="4">
        <f t="shared" si="27"/>
        <v>0</v>
      </c>
      <c r="J82" s="4">
        <f t="shared" si="27"/>
        <v>0</v>
      </c>
      <c r="K82" s="4">
        <f t="shared" si="27"/>
        <v>0</v>
      </c>
      <c r="L82" s="4">
        <f t="shared" si="27"/>
        <v>0</v>
      </c>
      <c r="M82" s="4">
        <f t="shared" si="27"/>
        <v>0</v>
      </c>
      <c r="N82" s="4">
        <f>N83</f>
        <v>0</v>
      </c>
      <c r="O82" s="5">
        <f>N82</f>
        <v>0</v>
      </c>
    </row>
    <row r="83" spans="1:15" ht="17.100000000000001" customHeight="1" x14ac:dyDescent="0.3">
      <c r="A83" s="6" t="s">
        <v>172</v>
      </c>
      <c r="B83" s="7" t="s">
        <v>171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9">
        <f>N83</f>
        <v>0</v>
      </c>
    </row>
    <row r="84" spans="1:15" ht="17.100000000000001" customHeight="1" x14ac:dyDescent="0.3">
      <c r="A84" s="10" t="s">
        <v>173</v>
      </c>
      <c r="B84" s="11" t="s">
        <v>46</v>
      </c>
      <c r="C84" s="4">
        <f>C85</f>
        <v>23296</v>
      </c>
      <c r="D84" s="4">
        <f t="shared" ref="D84:L84" si="28">D85</f>
        <v>13307</v>
      </c>
      <c r="E84" s="4">
        <f t="shared" si="28"/>
        <v>14091</v>
      </c>
      <c r="F84" s="4">
        <f t="shared" si="28"/>
        <v>7170.85</v>
      </c>
      <c r="G84" s="4">
        <f t="shared" si="28"/>
        <v>338494.65</v>
      </c>
      <c r="H84" s="4">
        <f t="shared" si="28"/>
        <v>10618.76</v>
      </c>
      <c r="I84" s="4">
        <f t="shared" si="28"/>
        <v>23139.32</v>
      </c>
      <c r="J84" s="4">
        <f t="shared" si="28"/>
        <v>27383.200000000001</v>
      </c>
      <c r="K84" s="4">
        <f t="shared" si="28"/>
        <v>33413.599999999999</v>
      </c>
      <c r="L84" s="4">
        <f t="shared" si="28"/>
        <v>44627.040000000001</v>
      </c>
      <c r="M84" s="4">
        <f>M85</f>
        <v>122962.4</v>
      </c>
      <c r="N84" s="4">
        <f>N85</f>
        <v>56325</v>
      </c>
      <c r="O84" s="5">
        <f>SUM(C84:N84)</f>
        <v>714828.82000000007</v>
      </c>
    </row>
    <row r="85" spans="1:15" ht="17.100000000000001" customHeight="1" x14ac:dyDescent="0.3">
      <c r="A85" s="6" t="s">
        <v>174</v>
      </c>
      <c r="B85" s="7" t="s">
        <v>46</v>
      </c>
      <c r="C85" s="8">
        <f>1504+1088+570+1244+1658+1558+156+468+518+674+416+1608+728+260+1660+572+570+1402+1192+1348+3168+934</f>
        <v>23296</v>
      </c>
      <c r="D85" s="8">
        <f>934+1036+416+364+587+543+217+275+968+370+220+2312+870+55+1416+1359+602+165+598</f>
        <v>13307</v>
      </c>
      <c r="E85" s="8">
        <f>598+2777+1141+165+382+327+2825+272+815+870+543+708+272+1413+110+55+220+598</f>
        <v>14091</v>
      </c>
      <c r="F85" s="8">
        <f>652.85+2448+327+55+55+598+315+598+816+55+543+653+55</f>
        <v>7170.85</v>
      </c>
      <c r="G85" s="8">
        <f>1085+55+335336.65+55+110+815+55+55+165+598+55+110</f>
        <v>338494.65</v>
      </c>
      <c r="H85" s="8">
        <f>55+326+110+1101.76+1142+327+272+110+544+1358+815+1196+653+1086+55+1468</f>
        <v>10618.76</v>
      </c>
      <c r="I85" s="8">
        <f>2713+1685+1087+382+5163+1849+165+110+382+2121+657+543+599+787.32+272+1794+55+2177+543+55</f>
        <v>23139.32</v>
      </c>
      <c r="J85" s="8">
        <f>1092.02+653+1252+1901+543+272+3071.52+272+2066+708+1251+870+818+653+815+1468+1035+1578+1411+2440.64+2615.02+598</f>
        <v>27383.200000000001</v>
      </c>
      <c r="K85" s="8">
        <f>598+1087+2782+1685+1141+1523+7007+543+2816.28+491+2448+3152+1141+1685+3279+2035.32</f>
        <v>33413.599999999999</v>
      </c>
      <c r="L85" s="8">
        <f>5555.04+1526+382+1527+1959+653+1523+2283+2785+3424+1471+980+2337+2124+2122+2227+220+2447+3805+1196+1633+2448</f>
        <v>44627.040000000001</v>
      </c>
      <c r="M85" s="8">
        <f>980+2288+1740+2176+2447+3314+1527+1538+2392+2067+1086+3643+1197+2601+763+84612.4+2011+1905+2011+1358+1306</f>
        <v>122962.4</v>
      </c>
      <c r="N85" s="8">
        <f>1094+3643+2235+3263+1905+2068+5604+2882+2563+5551+2232+3317+3539+763+1417+2664+1908+980+5001+3696</f>
        <v>56325</v>
      </c>
      <c r="O85" s="9">
        <f>SUM(C85:N85)</f>
        <v>714828.82000000007</v>
      </c>
    </row>
    <row r="86" spans="1:15" ht="17.100000000000001" customHeight="1" x14ac:dyDescent="0.3">
      <c r="A86" s="10" t="s">
        <v>175</v>
      </c>
      <c r="B86" s="11" t="s">
        <v>176</v>
      </c>
      <c r="C86" s="4">
        <f>C87</f>
        <v>0</v>
      </c>
      <c r="D86" s="4">
        <f t="shared" ref="D86:N86" si="29">D87</f>
        <v>0</v>
      </c>
      <c r="E86" s="4">
        <f t="shared" si="29"/>
        <v>0</v>
      </c>
      <c r="F86" s="4">
        <f>F87</f>
        <v>0</v>
      </c>
      <c r="G86" s="4">
        <f>G87</f>
        <v>0</v>
      </c>
      <c r="H86" s="4">
        <f t="shared" si="29"/>
        <v>0</v>
      </c>
      <c r="I86" s="4">
        <f t="shared" si="29"/>
        <v>0</v>
      </c>
      <c r="J86" s="4">
        <f>J87</f>
        <v>0</v>
      </c>
      <c r="K86" s="4">
        <f t="shared" si="29"/>
        <v>0</v>
      </c>
      <c r="L86" s="4">
        <f t="shared" si="29"/>
        <v>0</v>
      </c>
      <c r="M86" s="4">
        <f t="shared" si="29"/>
        <v>0</v>
      </c>
      <c r="N86" s="4">
        <f t="shared" si="29"/>
        <v>0</v>
      </c>
      <c r="O86" s="5">
        <f>SUM(C86:N86)</f>
        <v>0</v>
      </c>
    </row>
    <row r="87" spans="1:15" ht="17.100000000000001" customHeight="1" x14ac:dyDescent="0.3">
      <c r="A87" s="6" t="s">
        <v>177</v>
      </c>
      <c r="B87" s="7" t="s">
        <v>178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9"/>
    </row>
    <row r="88" spans="1:15" ht="17.100000000000001" customHeight="1" x14ac:dyDescent="0.3">
      <c r="A88" s="10" t="s">
        <v>179</v>
      </c>
      <c r="B88" s="11" t="s">
        <v>180</v>
      </c>
      <c r="C88" s="4">
        <f>SUM(C89:C100)</f>
        <v>5937762.669999999</v>
      </c>
      <c r="D88" s="4">
        <f t="shared" ref="D88:N88" si="30">SUM(D89:D100)</f>
        <v>9538537.6600000001</v>
      </c>
      <c r="E88" s="4">
        <f>SUM(E89:E100)</f>
        <v>11542782.379999999</v>
      </c>
      <c r="F88" s="4">
        <f>SUM(F89:F100)</f>
        <v>6710663.1799999997</v>
      </c>
      <c r="G88" s="4">
        <f>SUM(G89:G100)</f>
        <v>8206791.9399999985</v>
      </c>
      <c r="H88" s="4">
        <f t="shared" si="30"/>
        <v>11071025.080000002</v>
      </c>
      <c r="I88" s="4">
        <f t="shared" si="30"/>
        <v>10610373.800000001</v>
      </c>
      <c r="J88" s="4">
        <f>SUM(J89:J100)</f>
        <v>7674068.209999999</v>
      </c>
      <c r="K88" s="4">
        <f>SUM(K89:K100)</f>
        <v>8035192.0099999979</v>
      </c>
      <c r="L88" s="4">
        <f>SUM(L89:L100)</f>
        <v>7537342.6400000006</v>
      </c>
      <c r="M88" s="4">
        <f>SUM(M89:M100)</f>
        <v>5060355.5799999991</v>
      </c>
      <c r="N88" s="4">
        <f t="shared" si="30"/>
        <v>6560651.3699999992</v>
      </c>
      <c r="O88" s="5">
        <f>SUM(C88:N88)</f>
        <v>98485546.519999981</v>
      </c>
    </row>
    <row r="89" spans="1:15" ht="17.100000000000001" customHeight="1" x14ac:dyDescent="0.3">
      <c r="A89" s="17" t="s">
        <v>181</v>
      </c>
      <c r="B89" s="18" t="s">
        <v>182</v>
      </c>
      <c r="C89" s="8">
        <f>3965677.51</f>
        <v>3965677.51</v>
      </c>
      <c r="D89" s="8">
        <f>5451561.27</f>
        <v>5451561.2699999996</v>
      </c>
      <c r="E89" s="8">
        <f>7045659.27+23860.96</f>
        <v>7069520.2299999995</v>
      </c>
      <c r="F89" s="8">
        <f>4190144.39</f>
        <v>4190144.39</v>
      </c>
      <c r="G89" s="8">
        <f>5170827.56</f>
        <v>5170827.5599999996</v>
      </c>
      <c r="H89" s="8">
        <f>6804118.01</f>
        <v>6804118.0099999998</v>
      </c>
      <c r="I89" s="8">
        <f>5905102.63</f>
        <v>5905102.6299999999</v>
      </c>
      <c r="J89" s="8">
        <f>4820632.25</f>
        <v>4820632.25</v>
      </c>
      <c r="K89" s="8">
        <f>4953497.46</f>
        <v>4953497.46</v>
      </c>
      <c r="L89" s="8">
        <f>4665742.47</f>
        <v>4665742.47</v>
      </c>
      <c r="M89" s="8">
        <f>3322402.05</f>
        <v>3322402.05</v>
      </c>
      <c r="N89" s="8">
        <f>3612982.57</f>
        <v>3612982.57</v>
      </c>
      <c r="O89" s="9">
        <f>SUM(C89:N89)</f>
        <v>59932208.399999999</v>
      </c>
    </row>
    <row r="90" spans="1:15" ht="17.100000000000001" customHeight="1" x14ac:dyDescent="0.3">
      <c r="A90" s="19" t="s">
        <v>183</v>
      </c>
      <c r="B90" s="20" t="s">
        <v>184</v>
      </c>
      <c r="C90" s="8">
        <f>1503696.29</f>
        <v>1503696.29</v>
      </c>
      <c r="D90" s="8">
        <f>2543632.58</f>
        <v>2543632.58</v>
      </c>
      <c r="E90" s="8">
        <f>3682749.99</f>
        <v>3682749.99</v>
      </c>
      <c r="F90" s="8">
        <f>1711181.62</f>
        <v>1711181.62</v>
      </c>
      <c r="G90" s="8">
        <f>2326593.65</f>
        <v>2326593.65</v>
      </c>
      <c r="H90" s="8">
        <f>3539601.16</f>
        <v>3539601.16</v>
      </c>
      <c r="I90" s="8">
        <f>67214.96+75374.08+3681062.6</f>
        <v>3823651.64</v>
      </c>
      <c r="J90" s="8">
        <f>2217028.03</f>
        <v>2217028.0299999998</v>
      </c>
      <c r="K90" s="8">
        <f>2423648.07</f>
        <v>2423648.0699999998</v>
      </c>
      <c r="L90" s="8">
        <f>2139887.12</f>
        <v>2139887.12</v>
      </c>
      <c r="M90" s="8">
        <f>551571.57</f>
        <v>551571.56999999995</v>
      </c>
      <c r="N90" s="8">
        <f>2250860.98</f>
        <v>2250860.98</v>
      </c>
      <c r="O90" s="9">
        <f t="shared" ref="O90:O100" si="31">SUM(C90:N90)</f>
        <v>28714102.700000003</v>
      </c>
    </row>
    <row r="91" spans="1:15" ht="17.100000000000001" customHeight="1" x14ac:dyDescent="0.3">
      <c r="A91" s="19" t="s">
        <v>185</v>
      </c>
      <c r="B91" s="20" t="s">
        <v>186</v>
      </c>
      <c r="C91" s="8">
        <f>206184.93</f>
        <v>206184.93</v>
      </c>
      <c r="D91" s="8">
        <f>82742.58</f>
        <v>82742.58</v>
      </c>
      <c r="E91" s="8">
        <f>47376.8</f>
        <v>47376.800000000003</v>
      </c>
      <c r="F91" s="8">
        <f>224564.81</f>
        <v>224564.81</v>
      </c>
      <c r="G91" s="8">
        <f>86285.51</f>
        <v>86285.51</v>
      </c>
      <c r="H91" s="8">
        <f>46071.67</f>
        <v>46071.67</v>
      </c>
      <c r="I91" s="8">
        <f>292970.9</f>
        <v>292970.90000000002</v>
      </c>
      <c r="J91" s="8">
        <f>61019.98+17883.02</f>
        <v>78903</v>
      </c>
      <c r="K91" s="8">
        <f>80059.27</f>
        <v>80059.27</v>
      </c>
      <c r="L91" s="8">
        <f>212518.8</f>
        <v>212518.8</v>
      </c>
      <c r="M91" s="8">
        <f>73056.41</f>
        <v>73056.41</v>
      </c>
      <c r="N91" s="8">
        <f>79574.71</f>
        <v>79574.710000000006</v>
      </c>
      <c r="O91" s="9">
        <f t="shared" si="31"/>
        <v>1510309.3900000001</v>
      </c>
    </row>
    <row r="92" spans="1:15" ht="17.100000000000001" customHeight="1" x14ac:dyDescent="0.3">
      <c r="A92" s="19" t="s">
        <v>187</v>
      </c>
      <c r="B92" s="20" t="s">
        <v>188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9">
        <f t="shared" si="31"/>
        <v>0</v>
      </c>
    </row>
    <row r="93" spans="1:15" ht="17.100000000000001" customHeight="1" x14ac:dyDescent="0.3">
      <c r="A93" s="19" t="s">
        <v>189</v>
      </c>
      <c r="B93" s="20" t="s">
        <v>190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9">
        <f t="shared" si="31"/>
        <v>0</v>
      </c>
    </row>
    <row r="94" spans="1:15" ht="17.100000000000001" customHeight="1" x14ac:dyDescent="0.3">
      <c r="A94" s="19" t="s">
        <v>191</v>
      </c>
      <c r="B94" s="20" t="s">
        <v>192</v>
      </c>
      <c r="C94" s="8">
        <v>110501.88</v>
      </c>
      <c r="D94" s="8">
        <f>109841.69</f>
        <v>109841.69</v>
      </c>
      <c r="E94" s="8">
        <f>248470.27</f>
        <v>248470.27</v>
      </c>
      <c r="F94" s="8">
        <f>110735.01</f>
        <v>110735.01</v>
      </c>
      <c r="G94" s="8">
        <f>114001.56</f>
        <v>114001.56</v>
      </c>
      <c r="H94" s="8">
        <f>98396.81</f>
        <v>98396.81</v>
      </c>
      <c r="I94" s="8">
        <f>98669.23+98686.65</f>
        <v>197355.88</v>
      </c>
      <c r="J94" s="8">
        <v>101576.03</v>
      </c>
      <c r="K94" s="8">
        <v>100335.31</v>
      </c>
      <c r="L94" s="8">
        <f>103192.69</f>
        <v>103192.69</v>
      </c>
      <c r="M94" s="8">
        <f>107421.08</f>
        <v>107421.08</v>
      </c>
      <c r="N94" s="8">
        <f>107871</f>
        <v>107871</v>
      </c>
      <c r="O94" s="9">
        <f t="shared" si="31"/>
        <v>1509699.21</v>
      </c>
    </row>
    <row r="95" spans="1:15" ht="17.100000000000001" customHeight="1" x14ac:dyDescent="0.3">
      <c r="A95" s="19" t="s">
        <v>193</v>
      </c>
      <c r="B95" s="20" t="s">
        <v>194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9">
        <f t="shared" si="31"/>
        <v>0</v>
      </c>
    </row>
    <row r="96" spans="1:15" ht="17.100000000000001" customHeight="1" x14ac:dyDescent="0.3">
      <c r="A96" s="19" t="s">
        <v>195</v>
      </c>
      <c r="B96" s="20" t="s">
        <v>196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9">
        <f t="shared" si="31"/>
        <v>0</v>
      </c>
    </row>
    <row r="97" spans="1:15" ht="17.100000000000001" customHeight="1" x14ac:dyDescent="0.3">
      <c r="A97" s="19" t="s">
        <v>197</v>
      </c>
      <c r="B97" s="20" t="s">
        <v>198</v>
      </c>
      <c r="C97" s="8">
        <f>85959.31</f>
        <v>85959.31</v>
      </c>
      <c r="D97" s="8">
        <f>87998.45</f>
        <v>87998.45</v>
      </c>
      <c r="E97" s="8">
        <f>87036.48</f>
        <v>87036.479999999996</v>
      </c>
      <c r="F97" s="8">
        <f>74840.95</f>
        <v>74840.95</v>
      </c>
      <c r="G97" s="8">
        <f>96686.83+245.71</f>
        <v>96932.540000000008</v>
      </c>
      <c r="H97" s="8">
        <f>97313.21</f>
        <v>97313.21</v>
      </c>
      <c r="I97" s="8"/>
      <c r="J97" s="8">
        <f>88115.22</f>
        <v>88115.22</v>
      </c>
      <c r="K97" s="8">
        <f>98718.77</f>
        <v>98718.77</v>
      </c>
      <c r="L97" s="8">
        <f>18490.46</f>
        <v>18490.46</v>
      </c>
      <c r="M97" s="8">
        <f>123405.86</f>
        <v>123405.86</v>
      </c>
      <c r="N97" s="8">
        <f>130843.01</f>
        <v>130843.01</v>
      </c>
      <c r="O97" s="9">
        <f t="shared" si="31"/>
        <v>989654.25999999989</v>
      </c>
    </row>
    <row r="98" spans="1:15" ht="17.100000000000001" customHeight="1" x14ac:dyDescent="0.3">
      <c r="A98" s="19" t="s">
        <v>199</v>
      </c>
      <c r="B98" s="20" t="s">
        <v>200</v>
      </c>
      <c r="C98" s="8">
        <f>4674+29928.35</f>
        <v>34602.35</v>
      </c>
      <c r="D98" s="8">
        <f>1186508+19900.09</f>
        <v>1206408.0900000001</v>
      </c>
      <c r="E98" s="8">
        <f>375457+12639.94</f>
        <v>388096.94</v>
      </c>
      <c r="F98" s="8">
        <f>337071+20153.49</f>
        <v>357224.49</v>
      </c>
      <c r="G98" s="8">
        <f>348880+25208.72</f>
        <v>374088.72</v>
      </c>
      <c r="H98" s="8">
        <f>413615+35114.42</f>
        <v>448729.42</v>
      </c>
      <c r="I98" s="8">
        <f>322270+30149.79</f>
        <v>352419.79</v>
      </c>
      <c r="J98" s="8">
        <f>301465+30887.88</f>
        <v>332352.88</v>
      </c>
      <c r="K98" s="8">
        <f>302586+44055.53</f>
        <v>346641.53</v>
      </c>
      <c r="L98" s="8">
        <f>296777+24945.94</f>
        <v>321722.94</v>
      </c>
      <c r="M98" s="8">
        <f>802571+30319.31</f>
        <v>832890.31</v>
      </c>
      <c r="N98" s="8">
        <f>286505+53550.1</f>
        <v>340055.1</v>
      </c>
      <c r="O98" s="9">
        <f t="shared" si="31"/>
        <v>5335232.5599999996</v>
      </c>
    </row>
    <row r="99" spans="1:15" ht="17.100000000000001" customHeight="1" x14ac:dyDescent="0.3">
      <c r="A99" s="19" t="s">
        <v>201</v>
      </c>
      <c r="B99" s="20" t="s">
        <v>202</v>
      </c>
      <c r="C99" s="8"/>
      <c r="D99" s="8"/>
      <c r="E99" s="8"/>
      <c r="F99" s="8"/>
      <c r="G99" s="8"/>
      <c r="H99" s="8"/>
      <c r="I99" s="8"/>
      <c r="J99" s="8"/>
      <c r="K99" s="8"/>
      <c r="L99" s="8">
        <f>32307.54</f>
        <v>32307.54</v>
      </c>
      <c r="M99" s="8"/>
      <c r="N99" s="8"/>
      <c r="O99" s="9">
        <f t="shared" si="31"/>
        <v>32307.54</v>
      </c>
    </row>
    <row r="100" spans="1:15" ht="17.100000000000001" customHeight="1" x14ac:dyDescent="0.3">
      <c r="A100" s="19" t="s">
        <v>203</v>
      </c>
      <c r="B100" s="21" t="s">
        <v>204</v>
      </c>
      <c r="C100" s="8">
        <f>31140.4</f>
        <v>31140.400000000001</v>
      </c>
      <c r="D100" s="8">
        <f>56353</f>
        <v>56353</v>
      </c>
      <c r="E100" s="8">
        <f>19531.67</f>
        <v>19531.669999999998</v>
      </c>
      <c r="F100" s="8">
        <f>41971.91</f>
        <v>41971.91</v>
      </c>
      <c r="G100" s="8">
        <f>38062.4</f>
        <v>38062.400000000001</v>
      </c>
      <c r="H100" s="8">
        <f>36794.8</f>
        <v>36794.800000000003</v>
      </c>
      <c r="I100" s="8">
        <f>38872.96</f>
        <v>38872.959999999999</v>
      </c>
      <c r="J100" s="8">
        <f>35460.8</f>
        <v>35460.800000000003</v>
      </c>
      <c r="K100" s="8">
        <f>32291.6</f>
        <v>32291.599999999999</v>
      </c>
      <c r="L100" s="8">
        <f>43480.62</f>
        <v>43480.62</v>
      </c>
      <c r="M100" s="8">
        <f>49608.3</f>
        <v>49608.3</v>
      </c>
      <c r="N100" s="8">
        <f>38464</f>
        <v>38464</v>
      </c>
      <c r="O100" s="9">
        <f t="shared" si="31"/>
        <v>462032.45999999996</v>
      </c>
    </row>
    <row r="101" spans="1:15" ht="17.100000000000001" customHeight="1" x14ac:dyDescent="0.3">
      <c r="A101" s="10" t="s">
        <v>205</v>
      </c>
      <c r="B101" s="11" t="s">
        <v>206</v>
      </c>
      <c r="C101" s="4">
        <f>SUM(C102:C103)</f>
        <v>3026962.8</v>
      </c>
      <c r="D101" s="4">
        <f t="shared" ref="D101:N101" si="32">SUM(D102:D103)</f>
        <v>3026962.79</v>
      </c>
      <c r="E101" s="4">
        <f>SUM(E102:E103)</f>
        <v>3026962.79</v>
      </c>
      <c r="F101" s="4">
        <f>SUM(F102:F103)</f>
        <v>3026962.79</v>
      </c>
      <c r="G101" s="4">
        <f>SUM(G102:G103)</f>
        <v>3026962.79</v>
      </c>
      <c r="H101" s="4">
        <f t="shared" si="32"/>
        <v>3026962.79</v>
      </c>
      <c r="I101" s="4">
        <f t="shared" si="32"/>
        <v>3026962.79</v>
      </c>
      <c r="J101" s="4">
        <f>SUM(J102:J103)</f>
        <v>3026962.79</v>
      </c>
      <c r="K101" s="4">
        <f>SUM(K102:K103)</f>
        <v>3026962.79</v>
      </c>
      <c r="L101" s="4">
        <f t="shared" si="32"/>
        <v>3026962.79</v>
      </c>
      <c r="M101" s="4">
        <f t="shared" si="32"/>
        <v>1278692.3899999999</v>
      </c>
      <c r="N101" s="4">
        <f t="shared" si="32"/>
        <v>1278692.3899999999</v>
      </c>
      <c r="O101" s="5">
        <f>SUM(C101:N101)</f>
        <v>32827012.689999994</v>
      </c>
    </row>
    <row r="102" spans="1:15" ht="17.100000000000001" customHeight="1" x14ac:dyDescent="0.3">
      <c r="A102" s="6" t="s">
        <v>207</v>
      </c>
      <c r="B102" s="7" t="s">
        <v>208</v>
      </c>
      <c r="C102" s="8">
        <f t="shared" ref="C102:H102" si="33">1748270.4</f>
        <v>1748270.4</v>
      </c>
      <c r="D102" s="8">
        <f t="shared" si="33"/>
        <v>1748270.4</v>
      </c>
      <c r="E102" s="8">
        <f t="shared" si="33"/>
        <v>1748270.4</v>
      </c>
      <c r="F102" s="8">
        <f t="shared" si="33"/>
        <v>1748270.4</v>
      </c>
      <c r="G102" s="8">
        <f t="shared" si="33"/>
        <v>1748270.4</v>
      </c>
      <c r="H102" s="8">
        <f t="shared" si="33"/>
        <v>1748270.4</v>
      </c>
      <c r="I102" s="8">
        <f>1748270.4</f>
        <v>1748270.4</v>
      </c>
      <c r="J102" s="8">
        <f>1748270.4</f>
        <v>1748270.4</v>
      </c>
      <c r="K102" s="8">
        <f>1748270.4</f>
        <v>1748270.4</v>
      </c>
      <c r="L102" s="8">
        <v>1748270.4</v>
      </c>
      <c r="M102" s="8"/>
      <c r="N102" s="8"/>
      <c r="O102" s="9">
        <f>SUM(C102:N102)</f>
        <v>17482704</v>
      </c>
    </row>
    <row r="103" spans="1:15" ht="17.100000000000001" customHeight="1" x14ac:dyDescent="0.3">
      <c r="A103" s="6" t="s">
        <v>209</v>
      </c>
      <c r="B103" s="7" t="s">
        <v>210</v>
      </c>
      <c r="C103" s="8">
        <f>1278692.4</f>
        <v>1278692.3999999999</v>
      </c>
      <c r="D103" s="8">
        <f>1278692.39</f>
        <v>1278692.3899999999</v>
      </c>
      <c r="E103" s="8">
        <f>1278692.39</f>
        <v>1278692.3899999999</v>
      </c>
      <c r="F103" s="8">
        <f>1278692.39</f>
        <v>1278692.3899999999</v>
      </c>
      <c r="G103" s="8">
        <f>1278692.39</f>
        <v>1278692.3899999999</v>
      </c>
      <c r="H103" s="8">
        <v>1278692.3899999999</v>
      </c>
      <c r="I103" s="8">
        <f t="shared" ref="I103:N103" si="34">1278692.39</f>
        <v>1278692.3899999999</v>
      </c>
      <c r="J103" s="8">
        <f t="shared" si="34"/>
        <v>1278692.3899999999</v>
      </c>
      <c r="K103" s="8">
        <f t="shared" si="34"/>
        <v>1278692.3899999999</v>
      </c>
      <c r="L103" s="8">
        <f t="shared" si="34"/>
        <v>1278692.3899999999</v>
      </c>
      <c r="M103" s="8">
        <f t="shared" si="34"/>
        <v>1278692.3899999999</v>
      </c>
      <c r="N103" s="8">
        <f t="shared" si="34"/>
        <v>1278692.3899999999</v>
      </c>
      <c r="O103" s="9">
        <f>SUM(C103:N103)</f>
        <v>15344308.690000001</v>
      </c>
    </row>
    <row r="104" spans="1:15" ht="17.100000000000001" customHeight="1" x14ac:dyDescent="0.3">
      <c r="A104" s="22" t="s">
        <v>211</v>
      </c>
      <c r="B104" s="23" t="s">
        <v>212</v>
      </c>
      <c r="C104" s="4">
        <f>SUM(C105:C121)</f>
        <v>180755.65</v>
      </c>
      <c r="D104" s="4">
        <f>SUM(D105:D121)</f>
        <v>175653.43</v>
      </c>
      <c r="E104" s="4">
        <f>SUM(E105:E121)</f>
        <v>160275.95000000001</v>
      </c>
      <c r="F104" s="4">
        <f>SUM(F105:F121)</f>
        <v>165927.43</v>
      </c>
      <c r="G104" s="4">
        <f>SUM(G105:G121)</f>
        <v>143239.46</v>
      </c>
      <c r="H104" s="4">
        <f t="shared" ref="H104:N104" si="35">SUM(H105:H121)</f>
        <v>780109.1399999999</v>
      </c>
      <c r="I104" s="4">
        <f t="shared" si="35"/>
        <v>155222.37</v>
      </c>
      <c r="J104" s="4">
        <f>SUM(J105:J121)</f>
        <v>243075.43</v>
      </c>
      <c r="K104" s="4">
        <f>SUM(K105:K121)</f>
        <v>148150.82</v>
      </c>
      <c r="L104" s="4">
        <f t="shared" si="35"/>
        <v>255646.4</v>
      </c>
      <c r="M104" s="4">
        <f>SUM(M105:M121)</f>
        <v>142340.4</v>
      </c>
      <c r="N104" s="4">
        <f t="shared" si="35"/>
        <v>144510.09</v>
      </c>
      <c r="O104" s="5">
        <f>SUM(C104:N104)</f>
        <v>2694906.5699999994</v>
      </c>
    </row>
    <row r="105" spans="1:15" ht="17.100000000000001" customHeight="1" x14ac:dyDescent="0.3">
      <c r="A105" s="19" t="s">
        <v>213</v>
      </c>
      <c r="B105" s="20" t="s">
        <v>214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9">
        <f t="shared" ref="O105:O121" si="36">SUM(C105:N105)</f>
        <v>0</v>
      </c>
    </row>
    <row r="106" spans="1:15" ht="17.100000000000001" customHeight="1" x14ac:dyDescent="0.3">
      <c r="A106" s="19" t="s">
        <v>215</v>
      </c>
      <c r="B106" s="20" t="s">
        <v>216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9">
        <f t="shared" si="36"/>
        <v>0</v>
      </c>
    </row>
    <row r="107" spans="1:15" ht="17.100000000000001" customHeight="1" x14ac:dyDescent="0.3">
      <c r="A107" s="19" t="s">
        <v>217</v>
      </c>
      <c r="B107" s="20" t="s">
        <v>218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9">
        <f t="shared" si="36"/>
        <v>0</v>
      </c>
    </row>
    <row r="108" spans="1:15" ht="17.100000000000001" customHeight="1" x14ac:dyDescent="0.3">
      <c r="A108" s="19" t="s">
        <v>219</v>
      </c>
      <c r="B108" s="20" t="s">
        <v>220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9">
        <f t="shared" si="36"/>
        <v>0</v>
      </c>
    </row>
    <row r="109" spans="1:15" ht="17.100000000000001" customHeight="1" x14ac:dyDescent="0.3">
      <c r="A109" s="19" t="s">
        <v>221</v>
      </c>
      <c r="B109" s="20" t="s">
        <v>222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9">
        <f t="shared" si="36"/>
        <v>0</v>
      </c>
    </row>
    <row r="110" spans="1:15" ht="17.100000000000001" customHeight="1" x14ac:dyDescent="0.3">
      <c r="A110" s="19" t="s">
        <v>223</v>
      </c>
      <c r="B110" s="20" t="s">
        <v>224</v>
      </c>
      <c r="C110" s="8"/>
      <c r="D110" s="8"/>
      <c r="E110" s="8"/>
      <c r="F110" s="8"/>
      <c r="G110" s="8"/>
      <c r="H110" s="8">
        <f>548000+80000</f>
        <v>628000</v>
      </c>
      <c r="I110" s="8"/>
      <c r="J110" s="8">
        <f>100000</f>
        <v>100000</v>
      </c>
      <c r="K110" s="8"/>
      <c r="L110" s="8">
        <v>121294.3</v>
      </c>
      <c r="M110" s="8"/>
      <c r="N110" s="8"/>
      <c r="O110" s="9">
        <f t="shared" si="36"/>
        <v>849294.3</v>
      </c>
    </row>
    <row r="111" spans="1:15" ht="17.100000000000001" customHeight="1" x14ac:dyDescent="0.3">
      <c r="A111" s="19" t="s">
        <v>225</v>
      </c>
      <c r="B111" s="20" t="s">
        <v>226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9">
        <f t="shared" si="36"/>
        <v>0</v>
      </c>
    </row>
    <row r="112" spans="1:15" ht="17.100000000000001" customHeight="1" x14ac:dyDescent="0.3">
      <c r="A112" s="19" t="s">
        <v>227</v>
      </c>
      <c r="B112" s="20" t="s">
        <v>226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9">
        <f t="shared" si="36"/>
        <v>0</v>
      </c>
    </row>
    <row r="113" spans="1:15" ht="17.100000000000001" customHeight="1" x14ac:dyDescent="0.3">
      <c r="A113" s="19" t="s">
        <v>228</v>
      </c>
      <c r="B113" s="20" t="s">
        <v>229</v>
      </c>
      <c r="C113" s="8">
        <f>0.68</f>
        <v>0.68</v>
      </c>
      <c r="D113" s="8">
        <f>4.2</f>
        <v>4.2</v>
      </c>
      <c r="E113" s="8">
        <f>0.01</f>
        <v>0.01</v>
      </c>
      <c r="F113" s="8">
        <f>4.31</f>
        <v>4.3099999999999996</v>
      </c>
      <c r="G113" s="8"/>
      <c r="H113" s="8"/>
      <c r="I113" s="8"/>
      <c r="J113" s="8">
        <f>0.19</f>
        <v>0.19</v>
      </c>
      <c r="K113" s="8">
        <f>0.79</f>
        <v>0.79</v>
      </c>
      <c r="L113" s="8"/>
      <c r="M113" s="8">
        <v>0.13</v>
      </c>
      <c r="N113" s="8"/>
      <c r="O113" s="9">
        <f t="shared" si="36"/>
        <v>10.31</v>
      </c>
    </row>
    <row r="114" spans="1:15" ht="17.100000000000001" customHeight="1" x14ac:dyDescent="0.3">
      <c r="A114" s="19" t="s">
        <v>230</v>
      </c>
      <c r="B114" s="20" t="s">
        <v>231</v>
      </c>
      <c r="C114" s="8">
        <f t="shared" ref="C114:N114" si="37">19584.94</f>
        <v>19584.939999999999</v>
      </c>
      <c r="D114" s="8">
        <f t="shared" si="37"/>
        <v>19584.939999999999</v>
      </c>
      <c r="E114" s="8">
        <f t="shared" si="37"/>
        <v>19584.939999999999</v>
      </c>
      <c r="F114" s="8">
        <f t="shared" si="37"/>
        <v>19584.939999999999</v>
      </c>
      <c r="G114" s="8">
        <f t="shared" si="37"/>
        <v>19584.939999999999</v>
      </c>
      <c r="H114" s="8">
        <f t="shared" si="37"/>
        <v>19584.939999999999</v>
      </c>
      <c r="I114" s="8">
        <f t="shared" si="37"/>
        <v>19584.939999999999</v>
      </c>
      <c r="J114" s="8">
        <f t="shared" si="37"/>
        <v>19584.939999999999</v>
      </c>
      <c r="K114" s="8">
        <f t="shared" si="37"/>
        <v>19584.939999999999</v>
      </c>
      <c r="L114" s="8">
        <f t="shared" si="37"/>
        <v>19584.939999999999</v>
      </c>
      <c r="M114" s="8">
        <f t="shared" si="37"/>
        <v>19584.939999999999</v>
      </c>
      <c r="N114" s="8">
        <f t="shared" si="37"/>
        <v>19584.939999999999</v>
      </c>
      <c r="O114" s="9">
        <f t="shared" si="36"/>
        <v>235019.28</v>
      </c>
    </row>
    <row r="115" spans="1:15" ht="17.100000000000001" customHeight="1" x14ac:dyDescent="0.3">
      <c r="A115" s="19" t="s">
        <v>232</v>
      </c>
      <c r="B115" s="20" t="s">
        <v>233</v>
      </c>
      <c r="C115" s="8">
        <f>161170.03</f>
        <v>161170.03</v>
      </c>
      <c r="D115" s="8">
        <f>156064.29</f>
        <v>156064.29</v>
      </c>
      <c r="E115" s="8">
        <f>140691</f>
        <v>140691</v>
      </c>
      <c r="F115" s="8">
        <f>146338.18</f>
        <v>146338.18</v>
      </c>
      <c r="G115" s="8">
        <f>123654.52</f>
        <v>123654.52</v>
      </c>
      <c r="H115" s="8">
        <f>132524.2</f>
        <v>132524.20000000001</v>
      </c>
      <c r="I115" s="8">
        <f>135637.43</f>
        <v>135637.43</v>
      </c>
      <c r="J115" s="8">
        <f>123490.3</f>
        <v>123490.3</v>
      </c>
      <c r="K115" s="8">
        <f>128565.09</f>
        <v>128565.09</v>
      </c>
      <c r="L115" s="8">
        <f>114767.16</f>
        <v>114767.16</v>
      </c>
      <c r="M115" s="8">
        <v>122755.33</v>
      </c>
      <c r="N115" s="8">
        <f>124925.15</f>
        <v>124925.15</v>
      </c>
      <c r="O115" s="9">
        <f t="shared" si="36"/>
        <v>1610582.68</v>
      </c>
    </row>
    <row r="116" spans="1:15" ht="17.100000000000001" customHeight="1" x14ac:dyDescent="0.3">
      <c r="A116" s="19" t="s">
        <v>234</v>
      </c>
      <c r="B116" s="20" t="s">
        <v>235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9">
        <f t="shared" si="36"/>
        <v>0</v>
      </c>
    </row>
    <row r="117" spans="1:15" ht="17.100000000000001" customHeight="1" x14ac:dyDescent="0.3">
      <c r="A117" s="19" t="s">
        <v>236</v>
      </c>
      <c r="B117" s="20" t="s">
        <v>237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9">
        <f t="shared" si="36"/>
        <v>0</v>
      </c>
    </row>
    <row r="118" spans="1:15" ht="17.100000000000001" customHeight="1" x14ac:dyDescent="0.3">
      <c r="A118" s="19" t="s">
        <v>238</v>
      </c>
      <c r="B118" s="20" t="s">
        <v>239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9">
        <f t="shared" si="36"/>
        <v>0</v>
      </c>
    </row>
    <row r="119" spans="1:15" ht="17.100000000000001" customHeight="1" x14ac:dyDescent="0.3">
      <c r="A119" s="19" t="s">
        <v>240</v>
      </c>
      <c r="B119" s="20" t="s">
        <v>239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9">
        <f t="shared" si="36"/>
        <v>0</v>
      </c>
    </row>
    <row r="120" spans="1:15" ht="17.100000000000001" customHeight="1" x14ac:dyDescent="0.3">
      <c r="A120" s="19" t="s">
        <v>241</v>
      </c>
      <c r="B120" s="20" t="s">
        <v>242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9">
        <f t="shared" si="36"/>
        <v>0</v>
      </c>
    </row>
    <row r="121" spans="1:15" ht="17.100000000000001" customHeight="1" x14ac:dyDescent="0.3">
      <c r="A121" s="19" t="s">
        <v>243</v>
      </c>
      <c r="B121" s="20" t="s">
        <v>244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9">
        <f t="shared" si="36"/>
        <v>0</v>
      </c>
    </row>
    <row r="122" spans="1:15" ht="17.100000000000001" customHeight="1" x14ac:dyDescent="0.3">
      <c r="A122" s="10" t="s">
        <v>245</v>
      </c>
      <c r="B122" s="11" t="s">
        <v>246</v>
      </c>
      <c r="C122" s="4">
        <f>C123</f>
        <v>0</v>
      </c>
      <c r="D122" s="4">
        <f>D123</f>
        <v>0</v>
      </c>
      <c r="E122" s="4">
        <f t="shared" ref="E122:M122" si="38">E123</f>
        <v>0</v>
      </c>
      <c r="F122" s="4">
        <f t="shared" si="38"/>
        <v>0</v>
      </c>
      <c r="G122" s="4">
        <f t="shared" si="38"/>
        <v>0</v>
      </c>
      <c r="H122" s="4">
        <f>H123</f>
        <v>0</v>
      </c>
      <c r="I122" s="4">
        <f>I123</f>
        <v>0</v>
      </c>
      <c r="J122" s="4">
        <f>J123</f>
        <v>0</v>
      </c>
      <c r="K122" s="4">
        <f t="shared" si="38"/>
        <v>0</v>
      </c>
      <c r="L122" s="4">
        <f>L123</f>
        <v>0</v>
      </c>
      <c r="M122" s="4">
        <f t="shared" si="38"/>
        <v>0</v>
      </c>
      <c r="N122" s="4">
        <f>N123</f>
        <v>0</v>
      </c>
      <c r="O122" s="5">
        <f>SUM(C122:N122)</f>
        <v>0</v>
      </c>
    </row>
    <row r="123" spans="1:15" ht="17.100000000000001" customHeight="1" x14ac:dyDescent="0.3">
      <c r="A123" s="6" t="s">
        <v>247</v>
      </c>
      <c r="B123" s="7" t="s">
        <v>246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9">
        <f>SUM(C123:N123)</f>
        <v>0</v>
      </c>
    </row>
    <row r="124" spans="1:15" ht="17.100000000000001" customHeight="1" x14ac:dyDescent="0.3">
      <c r="A124" s="10" t="s">
        <v>248</v>
      </c>
      <c r="B124" s="11" t="s">
        <v>249</v>
      </c>
      <c r="C124" s="4">
        <f>C125</f>
        <v>0</v>
      </c>
      <c r="D124" s="4">
        <f>D125</f>
        <v>0</v>
      </c>
      <c r="E124" s="4">
        <f>E125</f>
        <v>0</v>
      </c>
      <c r="F124" s="4">
        <f>F125</f>
        <v>0</v>
      </c>
      <c r="G124" s="4">
        <f>G125</f>
        <v>0</v>
      </c>
      <c r="H124" s="4">
        <f t="shared" ref="H124:L124" si="39">H125</f>
        <v>0</v>
      </c>
      <c r="I124" s="4">
        <f t="shared" si="39"/>
        <v>0</v>
      </c>
      <c r="J124" s="4">
        <f>J125</f>
        <v>0</v>
      </c>
      <c r="K124" s="4">
        <f>K125</f>
        <v>0</v>
      </c>
      <c r="L124" s="4">
        <f t="shared" si="39"/>
        <v>0</v>
      </c>
      <c r="M124" s="4">
        <f>M125</f>
        <v>0</v>
      </c>
      <c r="N124" s="4">
        <f>N125</f>
        <v>0</v>
      </c>
      <c r="O124" s="5">
        <f>SUM(C124:N124)</f>
        <v>0</v>
      </c>
    </row>
    <row r="125" spans="1:15" x14ac:dyDescent="0.3">
      <c r="A125" s="6" t="s">
        <v>250</v>
      </c>
      <c r="B125" s="7" t="s">
        <v>249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9">
        <f>SUM(C125:N125)</f>
        <v>0</v>
      </c>
    </row>
    <row r="126" spans="1:15" ht="18.600000000000001" thickBot="1" x14ac:dyDescent="0.4">
      <c r="A126" s="41" t="s">
        <v>251</v>
      </c>
      <c r="B126" s="42"/>
      <c r="C126" s="24">
        <f>C4+C8+C11+C14+C16+C18+C22+C24+C26+C29+C32+C36+C40+C43+C47+C50+C53+C58+C62+C66+C71+C74+C77+C80+C84+C88+C101+C104+C122+C124+C69+C20+C86</f>
        <v>18697790.039999999</v>
      </c>
      <c r="D126" s="24">
        <f t="shared" ref="D126:H126" si="40">D4+D8+D11+D14+D16+D18+D22+D24+D26+D29+D32+D36+D40+D43+D47+D50+D53+D58+D62+D66+D71+D74+D77+D80+D84+D88+D101+D104+D122+D124+D69+D20</f>
        <v>16779168.870000001</v>
      </c>
      <c r="E126" s="24">
        <f>E4+E8+E11+E14+E16+E18+E22+E24+E26+E29+E32+E36+E40+E43+E47+E50+E53+E58+E62+E66+E71+E74+E77+E80+E84+E88+E101+E104+E122+E124+E69+E20+E86</f>
        <v>16608146.619999997</v>
      </c>
      <c r="F126" s="24">
        <f>F4+F8+F11+F14+F16+F18+F22+F24+F26+F29+F32+F36+F40+F43+F47+F50+F53+F58+F62+F66+F71+F74+F77+F80+F84+F88+F101+F104+F122+F124+F69+F20+F86</f>
        <v>10669991.539999999</v>
      </c>
      <c r="G126" s="24">
        <f>G4+G8+G11+G14+G16+G18+G22+G24+G26+G29+G32+G36+G40+G43+G47+G50+G53+G58+G62+G66+G71+G74+G77+G80+G84+G88+G101+G104+G122+G124+G69+G20+G86</f>
        <v>12257047.93</v>
      </c>
      <c r="H126" s="24">
        <f t="shared" si="40"/>
        <v>16299031.350000003</v>
      </c>
      <c r="I126" s="24">
        <f>I4+I8+I11+I14+I16+I18+I22+I24+I26+I29+I32+I36+I40+I43+I47+I50+I53+I58+I62+I66+I71+I74+I77+I80+I84+I88+I101+I104+I122+I124+I69+I20</f>
        <v>15545232.26</v>
      </c>
      <c r="J126" s="24">
        <f>J4+J8+J11+J14+J16+J18+J22+J24+J26+J29+J32+J36+J40+J43+J47+J50+J53+J58+J62+J66+J71+J74+J77+J80+J84+J88+J101+J104+J122+J124+J69+J20+J86</f>
        <v>13037683.619999999</v>
      </c>
      <c r="K126" s="24">
        <f>K4+K8+K11+K14+K16+K18+K22+K24+K26+K29+K32+K36+K40+K43+K47+K50+K53+K58+K62+K66+K71+K74+K77+K80+K84+K88+K101+K104+K122+K124+K69+K20+K86</f>
        <v>12707777.629999999</v>
      </c>
      <c r="L126" s="24">
        <f>L4+L8+L11+L14+L16+L18+L22+L24+L26+L29+L32+L36+L40+L43+L47+L50+L53+L58+L62+L66+L71+L74+L77+L80+L84+L88+L101+L104+L122+L124+L69+L20</f>
        <v>13001644.860000001</v>
      </c>
      <c r="M126" s="24">
        <f>M4+M8+M11+M14+M16+M18+M22+M24+M26+M29+M32+M36+M40+M43+M47+M50+M53+M58+M62+M66+M71+M74+M77+M80+M84+M88+M101+M104+M122+M124+M69+M20+M86</f>
        <v>7975029.6599999992</v>
      </c>
      <c r="N126" s="24">
        <f>N4+N8+N11+N14+N16+N18+N22+N24+N26+N29+N32+N36+N40+N43+N47+N50+N53+N58+N62+N66+N71+N74+N77+N80+N84+N88+N101+N104+N122+N124+N69+N20+N86+N82</f>
        <v>9695909.0499999989</v>
      </c>
      <c r="O126" s="25">
        <f>O124+O122+O104+O101+O88+O86+O84+O80+O77+O74+O71+O69+O66+O62+O58+O53+O50+O47+O43+O40+O36+O32+O29+O26+O24+O22+O20+O18+O16+O14+O11+O8+O4+O82</f>
        <v>163274453.42999995</v>
      </c>
    </row>
    <row r="127" spans="1:15" ht="15" thickTop="1" x14ac:dyDescent="0.3"/>
    <row r="128" spans="1:15" ht="18" x14ac:dyDescent="0.35">
      <c r="B128" s="27" t="s">
        <v>252</v>
      </c>
      <c r="C128" s="28" t="s">
        <v>4</v>
      </c>
      <c r="D128" s="28" t="s">
        <v>5</v>
      </c>
      <c r="E128" s="28" t="s">
        <v>6</v>
      </c>
      <c r="F128" s="28" t="s">
        <v>7</v>
      </c>
      <c r="G128" s="28" t="s">
        <v>8</v>
      </c>
      <c r="H128" s="28" t="s">
        <v>9</v>
      </c>
      <c r="I128" s="28" t="s">
        <v>10</v>
      </c>
      <c r="J128" s="28" t="s">
        <v>11</v>
      </c>
      <c r="K128" s="28" t="s">
        <v>12</v>
      </c>
      <c r="L128" s="28" t="s">
        <v>13</v>
      </c>
      <c r="M128" s="28" t="s">
        <v>14</v>
      </c>
      <c r="N128" s="28" t="s">
        <v>15</v>
      </c>
      <c r="O128" s="28" t="s">
        <v>251</v>
      </c>
    </row>
    <row r="129" spans="1:15" ht="18" customHeight="1" x14ac:dyDescent="0.3">
      <c r="A129"/>
      <c r="B129" s="29" t="s">
        <v>253</v>
      </c>
      <c r="C129" s="30">
        <f t="shared" ref="C129:N129" si="41">C130+C139+C145</f>
        <v>9552308.9200000018</v>
      </c>
      <c r="D129" s="30">
        <f t="shared" si="41"/>
        <v>4038014.99</v>
      </c>
      <c r="E129" s="30">
        <f t="shared" si="41"/>
        <v>1878125.5</v>
      </c>
      <c r="F129" s="30">
        <f t="shared" si="41"/>
        <v>766438.14</v>
      </c>
      <c r="G129" s="30">
        <f t="shared" si="41"/>
        <v>880053.74</v>
      </c>
      <c r="H129" s="30">
        <f t="shared" si="41"/>
        <v>1420934.3399999999</v>
      </c>
      <c r="I129" s="30">
        <f t="shared" si="41"/>
        <v>1752673.3</v>
      </c>
      <c r="J129" s="30">
        <f t="shared" si="41"/>
        <v>2093577.1899999997</v>
      </c>
      <c r="K129" s="30">
        <f t="shared" si="41"/>
        <v>1497472.0099999998</v>
      </c>
      <c r="L129" s="30">
        <f t="shared" si="41"/>
        <v>2181693.0300000003</v>
      </c>
      <c r="M129" s="30">
        <f t="shared" si="41"/>
        <v>1493641.29</v>
      </c>
      <c r="N129" s="30">
        <f t="shared" si="41"/>
        <v>1712055.1999999997</v>
      </c>
      <c r="O129" s="30">
        <f>SUM(C129:N129)</f>
        <v>29266987.650000002</v>
      </c>
    </row>
    <row r="130" spans="1:15" x14ac:dyDescent="0.3">
      <c r="A130"/>
      <c r="B130" s="31" t="s">
        <v>254</v>
      </c>
      <c r="C130" s="32">
        <f>C8+C12+C16+C18+C20+C71</f>
        <v>4547251.4400000004</v>
      </c>
      <c r="D130" s="32">
        <f>D8+D12+D16+D18+D20+D71</f>
        <v>1986420.48</v>
      </c>
      <c r="E130" s="32">
        <f>E8+E12+E16+E18+E20+E71</f>
        <v>990868.12000000011</v>
      </c>
      <c r="F130" s="32">
        <f t="shared" ref="F130:N130" si="42">F8+F12+F16+F18+F20+F71</f>
        <v>426487.24000000005</v>
      </c>
      <c r="G130" s="32">
        <f t="shared" si="42"/>
        <v>334145.13</v>
      </c>
      <c r="H130" s="32">
        <f t="shared" si="42"/>
        <v>869232.00999999989</v>
      </c>
      <c r="I130" s="32">
        <f t="shared" si="42"/>
        <v>1535017.79</v>
      </c>
      <c r="J130" s="32">
        <f t="shared" si="42"/>
        <v>1563437.4099999997</v>
      </c>
      <c r="K130" s="32">
        <f t="shared" si="42"/>
        <v>1020409.1799999999</v>
      </c>
      <c r="L130" s="32">
        <f t="shared" si="42"/>
        <v>1695793.5</v>
      </c>
      <c r="M130" s="32">
        <f t="shared" si="42"/>
        <v>1201394.25</v>
      </c>
      <c r="N130" s="32">
        <f t="shared" si="42"/>
        <v>1471398.4299999997</v>
      </c>
      <c r="O130" s="33">
        <f>SUM(C130:N130)</f>
        <v>17641854.98</v>
      </c>
    </row>
    <row r="131" spans="1:15" hidden="1" x14ac:dyDescent="0.3">
      <c r="A131"/>
      <c r="B131" s="34" t="s">
        <v>255</v>
      </c>
      <c r="C131" s="8">
        <f>C9</f>
        <v>1992989.21</v>
      </c>
      <c r="D131" s="8">
        <f t="shared" ref="D131:N132" si="43">D9</f>
        <v>456942.69</v>
      </c>
      <c r="E131" s="8">
        <f t="shared" si="43"/>
        <v>185366.92</v>
      </c>
      <c r="F131" s="8">
        <f t="shared" si="43"/>
        <v>75885.27</v>
      </c>
      <c r="G131" s="8">
        <f t="shared" si="43"/>
        <v>62432.38</v>
      </c>
      <c r="H131" s="8">
        <f t="shared" si="43"/>
        <v>347247.79</v>
      </c>
      <c r="I131" s="8">
        <f t="shared" si="43"/>
        <v>533589.93000000005</v>
      </c>
      <c r="J131" s="8">
        <f t="shared" si="43"/>
        <v>280843.84999999998</v>
      </c>
      <c r="K131" s="8">
        <f t="shared" si="43"/>
        <v>346249.32999999996</v>
      </c>
      <c r="L131" s="8">
        <f t="shared" si="43"/>
        <v>476712.16</v>
      </c>
      <c r="M131" s="8">
        <f t="shared" si="43"/>
        <v>181879.62000000002</v>
      </c>
      <c r="N131" s="8">
        <f t="shared" si="43"/>
        <v>493899.15</v>
      </c>
      <c r="O131" s="33"/>
    </row>
    <row r="132" spans="1:15" hidden="1" x14ac:dyDescent="0.3">
      <c r="A132"/>
      <c r="B132" s="34" t="s">
        <v>256</v>
      </c>
      <c r="C132" s="8">
        <f>C10</f>
        <v>2263525.6800000002</v>
      </c>
      <c r="D132" s="8">
        <f t="shared" si="43"/>
        <v>1043029.1799999999</v>
      </c>
      <c r="E132" s="8">
        <f t="shared" si="43"/>
        <v>281681.89</v>
      </c>
      <c r="F132" s="8">
        <f t="shared" si="43"/>
        <v>122447.80000000002</v>
      </c>
      <c r="G132" s="8">
        <f t="shared" si="43"/>
        <v>93657.34</v>
      </c>
      <c r="H132" s="8">
        <f t="shared" si="43"/>
        <v>55506.55</v>
      </c>
      <c r="I132" s="8">
        <f t="shared" si="43"/>
        <v>300523.18999999994</v>
      </c>
      <c r="J132" s="8">
        <f t="shared" si="43"/>
        <v>586474.22999999986</v>
      </c>
      <c r="K132" s="8">
        <f t="shared" si="43"/>
        <v>251783.61000000002</v>
      </c>
      <c r="L132" s="8">
        <f t="shared" si="43"/>
        <v>442818.43999999994</v>
      </c>
      <c r="M132" s="8">
        <f t="shared" si="43"/>
        <v>462132.89999999997</v>
      </c>
      <c r="N132" s="8">
        <f t="shared" si="43"/>
        <v>348567.1</v>
      </c>
      <c r="O132" s="33"/>
    </row>
    <row r="133" spans="1:15" hidden="1" x14ac:dyDescent="0.3">
      <c r="A133"/>
      <c r="B133" s="34" t="s">
        <v>257</v>
      </c>
      <c r="C133" s="8">
        <f>C12</f>
        <v>256071.83999999997</v>
      </c>
      <c r="D133" s="8">
        <f t="shared" ref="D133:N133" si="44">D12</f>
        <v>442883.63000000006</v>
      </c>
      <c r="E133" s="8">
        <f t="shared" si="44"/>
        <v>483001.94000000006</v>
      </c>
      <c r="F133" s="8">
        <f t="shared" si="44"/>
        <v>214476.11000000002</v>
      </c>
      <c r="G133" s="8">
        <f t="shared" si="44"/>
        <v>169251.51</v>
      </c>
      <c r="H133" s="8">
        <f t="shared" si="44"/>
        <v>353336.10000000003</v>
      </c>
      <c r="I133" s="8">
        <f t="shared" si="44"/>
        <v>412858.08999999997</v>
      </c>
      <c r="J133" s="8">
        <f t="shared" si="44"/>
        <v>398961.39</v>
      </c>
      <c r="K133" s="8">
        <f t="shared" si="44"/>
        <v>210823.49</v>
      </c>
      <c r="L133" s="8">
        <f t="shared" si="44"/>
        <v>481947.51999999996</v>
      </c>
      <c r="M133" s="8">
        <f t="shared" si="44"/>
        <v>386766.3</v>
      </c>
      <c r="N133" s="8">
        <f t="shared" si="44"/>
        <v>464553.63</v>
      </c>
      <c r="O133" s="33"/>
    </row>
    <row r="134" spans="1:15" hidden="1" x14ac:dyDescent="0.3">
      <c r="A134"/>
      <c r="B134" s="34" t="s">
        <v>42</v>
      </c>
      <c r="C134" s="8">
        <f>C16</f>
        <v>17305.07</v>
      </c>
      <c r="D134" s="8">
        <f t="shared" ref="D134:N134" si="45">D16</f>
        <v>16902.980000000003</v>
      </c>
      <c r="E134" s="8">
        <f t="shared" si="45"/>
        <v>12551.369999999997</v>
      </c>
      <c r="F134" s="8">
        <f t="shared" si="45"/>
        <v>3898.0599999999995</v>
      </c>
      <c r="G134" s="8">
        <f t="shared" si="45"/>
        <v>3075.8999999999996</v>
      </c>
      <c r="H134" s="8">
        <f t="shared" si="45"/>
        <v>68888.08</v>
      </c>
      <c r="I134" s="8">
        <f t="shared" si="45"/>
        <v>175138.63000000003</v>
      </c>
      <c r="J134" s="8">
        <f t="shared" si="45"/>
        <v>193776.7</v>
      </c>
      <c r="K134" s="8">
        <f t="shared" si="45"/>
        <v>141353.97999999998</v>
      </c>
      <c r="L134" s="8">
        <f t="shared" si="45"/>
        <v>217875.02000000005</v>
      </c>
      <c r="M134" s="8">
        <f t="shared" si="45"/>
        <v>102562.45</v>
      </c>
      <c r="N134" s="8">
        <f t="shared" si="45"/>
        <v>113444.15000000002</v>
      </c>
      <c r="O134" s="33"/>
    </row>
    <row r="135" spans="1:15" hidden="1" x14ac:dyDescent="0.3">
      <c r="A135"/>
      <c r="B135" s="34" t="s">
        <v>46</v>
      </c>
      <c r="C135" s="8">
        <f>C18</f>
        <v>300</v>
      </c>
      <c r="D135" s="8">
        <f t="shared" ref="D135:N135" si="46">D18</f>
        <v>6880</v>
      </c>
      <c r="E135" s="8">
        <f t="shared" si="46"/>
        <v>0</v>
      </c>
      <c r="F135" s="8">
        <f t="shared" si="46"/>
        <v>0</v>
      </c>
      <c r="G135" s="8">
        <f t="shared" si="46"/>
        <v>0</v>
      </c>
      <c r="H135" s="8">
        <f t="shared" si="46"/>
        <v>20900</v>
      </c>
      <c r="I135" s="8">
        <f t="shared" si="46"/>
        <v>55800</v>
      </c>
      <c r="J135" s="8">
        <f t="shared" si="46"/>
        <v>51800</v>
      </c>
      <c r="K135" s="8">
        <f t="shared" si="46"/>
        <v>35200</v>
      </c>
      <c r="L135" s="8">
        <f t="shared" si="46"/>
        <v>33000</v>
      </c>
      <c r="M135" s="8">
        <f t="shared" si="46"/>
        <v>23000</v>
      </c>
      <c r="N135" s="8">
        <f t="shared" si="46"/>
        <v>19400</v>
      </c>
      <c r="O135" s="33"/>
    </row>
    <row r="136" spans="1:15" hidden="1" x14ac:dyDescent="0.3">
      <c r="A136"/>
      <c r="B136" s="34" t="s">
        <v>258</v>
      </c>
      <c r="C136" s="8">
        <f>C20</f>
        <v>109.64</v>
      </c>
      <c r="D136" s="8">
        <f t="shared" ref="D136:N136" si="47">D20</f>
        <v>0</v>
      </c>
      <c r="E136" s="8">
        <f t="shared" si="47"/>
        <v>0</v>
      </c>
      <c r="F136" s="8">
        <f t="shared" si="47"/>
        <v>0</v>
      </c>
      <c r="G136" s="8">
        <f t="shared" si="47"/>
        <v>0</v>
      </c>
      <c r="H136" s="8">
        <f t="shared" si="47"/>
        <v>11644.49</v>
      </c>
      <c r="I136" s="8">
        <f t="shared" si="47"/>
        <v>28755.95</v>
      </c>
      <c r="J136" s="8">
        <f t="shared" si="47"/>
        <v>26691.24</v>
      </c>
      <c r="K136" s="8">
        <f t="shared" si="47"/>
        <v>21135.77</v>
      </c>
      <c r="L136" s="8">
        <f t="shared" si="47"/>
        <v>19656.36</v>
      </c>
      <c r="M136" s="8">
        <f t="shared" si="47"/>
        <v>10391.98</v>
      </c>
      <c r="N136" s="8">
        <f t="shared" si="47"/>
        <v>8421.4</v>
      </c>
      <c r="O136" s="33"/>
    </row>
    <row r="137" spans="1:15" hidden="1" x14ac:dyDescent="0.3">
      <c r="A137"/>
      <c r="B137" s="34" t="s">
        <v>259</v>
      </c>
      <c r="C137" s="8">
        <f>C72</f>
        <v>6330</v>
      </c>
      <c r="D137" s="8">
        <f t="shared" ref="D137:N138" si="48">D72</f>
        <v>4510</v>
      </c>
      <c r="E137" s="8">
        <f t="shared" si="48"/>
        <v>5690</v>
      </c>
      <c r="F137" s="8">
        <f t="shared" si="48"/>
        <v>3306</v>
      </c>
      <c r="G137" s="8">
        <f t="shared" si="48"/>
        <v>1744</v>
      </c>
      <c r="H137" s="8">
        <f t="shared" si="48"/>
        <v>3243</v>
      </c>
      <c r="I137" s="8">
        <f t="shared" si="48"/>
        <v>4116</v>
      </c>
      <c r="J137" s="8">
        <f t="shared" si="48"/>
        <v>2480</v>
      </c>
      <c r="K137" s="8">
        <f t="shared" si="48"/>
        <v>3903</v>
      </c>
      <c r="L137" s="8">
        <f t="shared" si="48"/>
        <v>5192</v>
      </c>
      <c r="M137" s="8">
        <f t="shared" si="48"/>
        <v>3951</v>
      </c>
      <c r="N137" s="8">
        <f t="shared" si="48"/>
        <v>1699</v>
      </c>
      <c r="O137" s="33"/>
    </row>
    <row r="138" spans="1:15" hidden="1" x14ac:dyDescent="0.3">
      <c r="A138"/>
      <c r="B138" s="34" t="s">
        <v>260</v>
      </c>
      <c r="C138" s="8">
        <f>C73</f>
        <v>10620</v>
      </c>
      <c r="D138" s="8">
        <f t="shared" si="48"/>
        <v>15272</v>
      </c>
      <c r="E138" s="8">
        <f t="shared" si="48"/>
        <v>22576</v>
      </c>
      <c r="F138" s="8">
        <f t="shared" si="48"/>
        <v>6474</v>
      </c>
      <c r="G138" s="8">
        <f t="shared" si="48"/>
        <v>3984</v>
      </c>
      <c r="H138" s="8">
        <f t="shared" si="48"/>
        <v>8466</v>
      </c>
      <c r="I138" s="8">
        <f t="shared" si="48"/>
        <v>24236</v>
      </c>
      <c r="J138" s="8">
        <f t="shared" si="48"/>
        <v>22410</v>
      </c>
      <c r="K138" s="8">
        <f t="shared" si="48"/>
        <v>9960</v>
      </c>
      <c r="L138" s="8">
        <f t="shared" si="48"/>
        <v>18592</v>
      </c>
      <c r="M138" s="8">
        <f t="shared" si="48"/>
        <v>30710</v>
      </c>
      <c r="N138" s="8">
        <f t="shared" si="48"/>
        <v>21414</v>
      </c>
      <c r="O138" s="33"/>
    </row>
    <row r="139" spans="1:15" ht="15" customHeight="1" x14ac:dyDescent="0.3">
      <c r="A139"/>
      <c r="B139" s="31" t="s">
        <v>261</v>
      </c>
      <c r="C139" s="32">
        <f t="shared" ref="C139:N139" si="49">C53+C76+C79</f>
        <v>3999963.1800000016</v>
      </c>
      <c r="D139" s="32">
        <f>D53+D76+D79</f>
        <v>1684388.27</v>
      </c>
      <c r="E139" s="32">
        <f t="shared" si="49"/>
        <v>544731.55999999994</v>
      </c>
      <c r="F139" s="32">
        <f t="shared" si="49"/>
        <v>197993.81000000003</v>
      </c>
      <c r="G139" s="32">
        <f t="shared" si="49"/>
        <v>102536.39000000001</v>
      </c>
      <c r="H139" s="32">
        <f t="shared" si="49"/>
        <v>82982.22</v>
      </c>
      <c r="I139" s="32">
        <f t="shared" si="49"/>
        <v>58764.349999999991</v>
      </c>
      <c r="J139" s="32">
        <f t="shared" si="49"/>
        <v>54665.83</v>
      </c>
      <c r="K139" s="32">
        <f t="shared" si="49"/>
        <v>125782.44</v>
      </c>
      <c r="L139" s="32">
        <f t="shared" si="49"/>
        <v>52418.09</v>
      </c>
      <c r="M139" s="32">
        <f t="shared" si="49"/>
        <v>70111.299999999988</v>
      </c>
      <c r="N139" s="32">
        <f t="shared" si="49"/>
        <v>65890.97</v>
      </c>
      <c r="O139" s="33">
        <f>SUM(C139:N139)</f>
        <v>7040228.4099999992</v>
      </c>
    </row>
    <row r="140" spans="1:15" ht="15" hidden="1" customHeight="1" x14ac:dyDescent="0.3">
      <c r="A140"/>
      <c r="B140" s="34" t="s">
        <v>262</v>
      </c>
      <c r="C140" s="8">
        <f>C54</f>
        <v>2881897.2700000009</v>
      </c>
      <c r="D140" s="8">
        <f t="shared" ref="D140:N140" si="50">D54</f>
        <v>1230297.8699999999</v>
      </c>
      <c r="E140" s="8">
        <f t="shared" si="50"/>
        <v>392406.50999999995</v>
      </c>
      <c r="F140" s="8">
        <f t="shared" si="50"/>
        <v>148041.55000000002</v>
      </c>
      <c r="G140" s="8">
        <f t="shared" si="50"/>
        <v>77951.69</v>
      </c>
      <c r="H140" s="8">
        <f t="shared" si="50"/>
        <v>62585.569999999992</v>
      </c>
      <c r="I140" s="8">
        <f t="shared" si="50"/>
        <v>44159.009999999995</v>
      </c>
      <c r="J140" s="8">
        <f t="shared" si="50"/>
        <v>40054.199999999997</v>
      </c>
      <c r="K140" s="8">
        <f t="shared" si="50"/>
        <v>87947.68</v>
      </c>
      <c r="L140" s="8">
        <f t="shared" si="50"/>
        <v>38349.25</v>
      </c>
      <c r="M140" s="8">
        <f t="shared" si="50"/>
        <v>54512.729999999996</v>
      </c>
      <c r="N140" s="8">
        <f t="shared" si="50"/>
        <v>49853.08</v>
      </c>
      <c r="O140" s="33"/>
    </row>
    <row r="141" spans="1:15" ht="15" hidden="1" customHeight="1" x14ac:dyDescent="0.3">
      <c r="A141"/>
      <c r="B141" s="34" t="s">
        <v>42</v>
      </c>
      <c r="C141" s="8">
        <f>C76</f>
        <v>29057.429999999997</v>
      </c>
      <c r="D141" s="8">
        <f t="shared" ref="D141:N141" si="51">D76</f>
        <v>11156.01</v>
      </c>
      <c r="E141" s="8">
        <f t="shared" si="51"/>
        <v>7552.41</v>
      </c>
      <c r="F141" s="8">
        <f t="shared" si="51"/>
        <v>3288.05</v>
      </c>
      <c r="G141" s="8">
        <f t="shared" si="51"/>
        <v>2095.46</v>
      </c>
      <c r="H141" s="8">
        <f t="shared" si="51"/>
        <v>3975.85</v>
      </c>
      <c r="I141" s="8">
        <f t="shared" si="51"/>
        <v>1921.5300000000002</v>
      </c>
      <c r="J141" s="8">
        <f t="shared" si="51"/>
        <v>2692.75</v>
      </c>
      <c r="K141" s="8">
        <f t="shared" si="51"/>
        <v>13211.79</v>
      </c>
      <c r="L141" s="8">
        <f t="shared" si="51"/>
        <v>3202.31</v>
      </c>
      <c r="M141" s="8">
        <f t="shared" si="51"/>
        <v>2148.4699999999998</v>
      </c>
      <c r="N141" s="8">
        <f t="shared" si="51"/>
        <v>3781.09</v>
      </c>
      <c r="O141" s="33"/>
    </row>
    <row r="142" spans="1:15" ht="15" hidden="1" customHeight="1" x14ac:dyDescent="0.3">
      <c r="A142"/>
      <c r="B142" s="34" t="s">
        <v>46</v>
      </c>
      <c r="C142" s="8">
        <f>C79</f>
        <v>0</v>
      </c>
      <c r="D142" s="8">
        <f t="shared" ref="D142:N142" si="52">D79</f>
        <v>0</v>
      </c>
      <c r="E142" s="8">
        <f t="shared" si="52"/>
        <v>760</v>
      </c>
      <c r="F142" s="8">
        <f t="shared" si="52"/>
        <v>0</v>
      </c>
      <c r="G142" s="8">
        <f t="shared" si="52"/>
        <v>0</v>
      </c>
      <c r="H142" s="8">
        <f t="shared" si="52"/>
        <v>0</v>
      </c>
      <c r="I142" s="8">
        <f t="shared" si="52"/>
        <v>0</v>
      </c>
      <c r="J142" s="8">
        <f t="shared" si="52"/>
        <v>0</v>
      </c>
      <c r="K142" s="8">
        <f t="shared" si="52"/>
        <v>0</v>
      </c>
      <c r="L142" s="8">
        <f t="shared" si="52"/>
        <v>0</v>
      </c>
      <c r="M142" s="8">
        <f t="shared" si="52"/>
        <v>0</v>
      </c>
      <c r="N142" s="8">
        <f t="shared" si="52"/>
        <v>0</v>
      </c>
      <c r="O142" s="33"/>
    </row>
    <row r="143" spans="1:15" ht="15" hidden="1" customHeight="1" x14ac:dyDescent="0.3">
      <c r="A143"/>
      <c r="B143" s="34" t="s">
        <v>263</v>
      </c>
      <c r="C143" s="8">
        <f>C55</f>
        <v>838304.37000000034</v>
      </c>
      <c r="D143" s="8">
        <f t="shared" ref="D143:N144" si="53">D55</f>
        <v>339580.07000000007</v>
      </c>
      <c r="E143" s="8">
        <f t="shared" si="53"/>
        <v>110966.27</v>
      </c>
      <c r="F143" s="8">
        <f t="shared" si="53"/>
        <v>35895.29</v>
      </c>
      <c r="G143" s="8">
        <f t="shared" si="53"/>
        <v>17299.28</v>
      </c>
      <c r="H143" s="8">
        <f t="shared" si="53"/>
        <v>12701.17</v>
      </c>
      <c r="I143" s="8">
        <f t="shared" si="53"/>
        <v>9756.7000000000007</v>
      </c>
      <c r="J143" s="8">
        <f t="shared" si="53"/>
        <v>9168.2999999999993</v>
      </c>
      <c r="K143" s="8">
        <f t="shared" si="53"/>
        <v>18415.09</v>
      </c>
      <c r="L143" s="8">
        <f t="shared" si="53"/>
        <v>8358.82</v>
      </c>
      <c r="M143" s="8">
        <f t="shared" si="53"/>
        <v>10346.200000000001</v>
      </c>
      <c r="N143" s="8">
        <f t="shared" si="53"/>
        <v>9466.98</v>
      </c>
      <c r="O143" s="33"/>
    </row>
    <row r="144" spans="1:15" ht="15" hidden="1" customHeight="1" x14ac:dyDescent="0.3">
      <c r="A144"/>
      <c r="B144" s="34" t="s">
        <v>264</v>
      </c>
      <c r="C144" s="8">
        <f>C56</f>
        <v>250704.11000000002</v>
      </c>
      <c r="D144" s="8">
        <f t="shared" si="53"/>
        <v>103354.31999999999</v>
      </c>
      <c r="E144" s="8">
        <f t="shared" si="53"/>
        <v>33046.369999999995</v>
      </c>
      <c r="F144" s="8">
        <f t="shared" si="53"/>
        <v>10768.92</v>
      </c>
      <c r="G144" s="8">
        <f t="shared" si="53"/>
        <v>5189.96</v>
      </c>
      <c r="H144" s="8">
        <f t="shared" si="53"/>
        <v>3719.63</v>
      </c>
      <c r="I144" s="8">
        <f t="shared" si="53"/>
        <v>2927.11</v>
      </c>
      <c r="J144" s="8">
        <f t="shared" si="53"/>
        <v>2750.58</v>
      </c>
      <c r="K144" s="8">
        <f t="shared" si="53"/>
        <v>6207.88</v>
      </c>
      <c r="L144" s="8">
        <f t="shared" si="53"/>
        <v>2507.71</v>
      </c>
      <c r="M144" s="8">
        <f t="shared" si="53"/>
        <v>3103.9</v>
      </c>
      <c r="N144" s="8">
        <f t="shared" si="53"/>
        <v>2789.8199999999997</v>
      </c>
      <c r="O144" s="33"/>
    </row>
    <row r="145" spans="1:15" x14ac:dyDescent="0.3">
      <c r="A145"/>
      <c r="B145" s="31" t="s">
        <v>265</v>
      </c>
      <c r="C145" s="32">
        <f>SUM(C146:C155)</f>
        <v>1005094.2999999999</v>
      </c>
      <c r="D145" s="32">
        <f t="shared" ref="D145:N145" si="54">SUM(D146:D155)</f>
        <v>367206.24</v>
      </c>
      <c r="E145" s="32">
        <f t="shared" si="54"/>
        <v>342525.81999999995</v>
      </c>
      <c r="F145" s="32">
        <f t="shared" si="54"/>
        <v>141957.09</v>
      </c>
      <c r="G145" s="32">
        <f t="shared" si="54"/>
        <v>443372.22000000003</v>
      </c>
      <c r="H145" s="32">
        <f t="shared" si="54"/>
        <v>468720.11</v>
      </c>
      <c r="I145" s="32">
        <f t="shared" si="54"/>
        <v>158891.16</v>
      </c>
      <c r="J145" s="32">
        <f t="shared" si="54"/>
        <v>475473.95</v>
      </c>
      <c r="K145" s="32">
        <f t="shared" si="54"/>
        <v>351280.39</v>
      </c>
      <c r="L145" s="32">
        <f t="shared" si="54"/>
        <v>433481.43999999994</v>
      </c>
      <c r="M145" s="32">
        <f>SUM(M146:M155)</f>
        <v>222135.74</v>
      </c>
      <c r="N145" s="32">
        <f t="shared" si="54"/>
        <v>174765.8</v>
      </c>
      <c r="O145" s="33">
        <f>SUM(C145:N145)</f>
        <v>4584904.26</v>
      </c>
    </row>
    <row r="146" spans="1:15" hidden="1" x14ac:dyDescent="0.3">
      <c r="A146"/>
      <c r="B146" s="34" t="s">
        <v>266</v>
      </c>
      <c r="C146" s="8">
        <f t="shared" ref="C146:N146" si="55">C14+C24+C43+C47+C42+C13</f>
        <v>650233.87999999989</v>
      </c>
      <c r="D146" s="8">
        <f t="shared" si="55"/>
        <v>106665.63</v>
      </c>
      <c r="E146" s="8">
        <f t="shared" si="55"/>
        <v>213285.55</v>
      </c>
      <c r="F146" s="8">
        <f t="shared" si="55"/>
        <v>31152.75</v>
      </c>
      <c r="G146" s="8">
        <f t="shared" si="55"/>
        <v>22055.18</v>
      </c>
      <c r="H146" s="8">
        <f t="shared" si="55"/>
        <v>360777.86</v>
      </c>
      <c r="I146" s="8">
        <f t="shared" si="55"/>
        <v>33891.93</v>
      </c>
      <c r="J146" s="8">
        <f t="shared" si="55"/>
        <v>357864.2</v>
      </c>
      <c r="K146" s="8">
        <f t="shared" si="55"/>
        <v>43901.34</v>
      </c>
      <c r="L146" s="8">
        <f t="shared" si="55"/>
        <v>11677.880000000001</v>
      </c>
      <c r="M146" s="8">
        <f t="shared" si="55"/>
        <v>13747.57</v>
      </c>
      <c r="N146" s="8">
        <f t="shared" si="55"/>
        <v>14378.96</v>
      </c>
      <c r="O146" s="35">
        <v>0</v>
      </c>
    </row>
    <row r="147" spans="1:15" hidden="1" x14ac:dyDescent="0.3">
      <c r="A147"/>
      <c r="B147" s="34" t="s">
        <v>267</v>
      </c>
      <c r="C147" s="8">
        <f t="shared" ref="C147:K147" si="56">C26+C32+C22</f>
        <v>20830</v>
      </c>
      <c r="D147" s="8">
        <f t="shared" si="56"/>
        <v>12760</v>
      </c>
      <c r="E147" s="8">
        <f t="shared" si="56"/>
        <v>12220</v>
      </c>
      <c r="F147" s="8">
        <f t="shared" si="56"/>
        <v>15350</v>
      </c>
      <c r="G147" s="8">
        <f t="shared" si="56"/>
        <v>12580</v>
      </c>
      <c r="H147" s="8">
        <f t="shared" si="56"/>
        <v>12480</v>
      </c>
      <c r="I147" s="8">
        <f t="shared" si="56"/>
        <v>15280</v>
      </c>
      <c r="J147" s="8">
        <f t="shared" si="56"/>
        <v>12430</v>
      </c>
      <c r="K147" s="8">
        <f t="shared" si="56"/>
        <v>12730</v>
      </c>
      <c r="L147" s="8">
        <f>L26+L32+L22</f>
        <v>171105</v>
      </c>
      <c r="M147" s="8">
        <f t="shared" ref="M147:N147" si="57">M26+M32+M22</f>
        <v>12450</v>
      </c>
      <c r="N147" s="8">
        <f t="shared" si="57"/>
        <v>13860</v>
      </c>
      <c r="O147" s="35">
        <v>0</v>
      </c>
    </row>
    <row r="148" spans="1:15" hidden="1" x14ac:dyDescent="0.3">
      <c r="A148"/>
      <c r="B148" s="34" t="s">
        <v>268</v>
      </c>
      <c r="C148" s="8">
        <f t="shared" ref="C148:N148" si="58">C29</f>
        <v>13416</v>
      </c>
      <c r="D148" s="8">
        <f t="shared" si="58"/>
        <v>4977.5</v>
      </c>
      <c r="E148" s="8">
        <f t="shared" si="58"/>
        <v>3594.66</v>
      </c>
      <c r="F148" s="8">
        <f t="shared" si="58"/>
        <v>5634.5</v>
      </c>
      <c r="G148" s="8">
        <f t="shared" si="58"/>
        <v>1337</v>
      </c>
      <c r="H148" s="8">
        <f t="shared" si="58"/>
        <v>0</v>
      </c>
      <c r="I148" s="8">
        <f t="shared" si="58"/>
        <v>1146</v>
      </c>
      <c r="J148" s="8">
        <f t="shared" si="58"/>
        <v>2292</v>
      </c>
      <c r="K148" s="8">
        <f t="shared" si="58"/>
        <v>4350.9799999999996</v>
      </c>
      <c r="L148" s="8">
        <f>L29</f>
        <v>2101</v>
      </c>
      <c r="M148" s="8">
        <f t="shared" si="58"/>
        <v>0</v>
      </c>
      <c r="N148" s="8">
        <f t="shared" si="58"/>
        <v>2387.5</v>
      </c>
      <c r="O148" s="35">
        <v>0</v>
      </c>
    </row>
    <row r="149" spans="1:15" hidden="1" x14ac:dyDescent="0.3">
      <c r="A149"/>
      <c r="B149" s="34" t="s">
        <v>269</v>
      </c>
      <c r="C149" s="8">
        <f t="shared" ref="C149:N149" si="59">C36+C41</f>
        <v>124199</v>
      </c>
      <c r="D149" s="8">
        <f t="shared" si="59"/>
        <v>75442</v>
      </c>
      <c r="E149" s="8">
        <f t="shared" si="59"/>
        <v>26188</v>
      </c>
      <c r="F149" s="8">
        <f t="shared" si="59"/>
        <v>10282</v>
      </c>
      <c r="G149" s="8">
        <f t="shared" si="59"/>
        <v>7084</v>
      </c>
      <c r="H149" s="8">
        <f t="shared" si="59"/>
        <v>14438</v>
      </c>
      <c r="I149" s="8">
        <f t="shared" si="59"/>
        <v>3521</v>
      </c>
      <c r="J149" s="8">
        <f t="shared" si="59"/>
        <v>2440</v>
      </c>
      <c r="K149" s="8">
        <f t="shared" si="59"/>
        <v>2557</v>
      </c>
      <c r="L149" s="8">
        <f t="shared" si="59"/>
        <v>1325</v>
      </c>
      <c r="M149" s="8">
        <f t="shared" si="59"/>
        <v>2176</v>
      </c>
      <c r="N149" s="8">
        <f t="shared" si="59"/>
        <v>2217</v>
      </c>
      <c r="O149" s="35">
        <v>0</v>
      </c>
    </row>
    <row r="150" spans="1:15" hidden="1" x14ac:dyDescent="0.3">
      <c r="A150"/>
      <c r="B150" s="34" t="s">
        <v>270</v>
      </c>
      <c r="C150" s="8">
        <f t="shared" ref="C150:N150" si="60">C58</f>
        <v>50792</v>
      </c>
      <c r="D150" s="8">
        <f t="shared" si="60"/>
        <v>19184</v>
      </c>
      <c r="E150" s="8">
        <f t="shared" si="60"/>
        <v>20119</v>
      </c>
      <c r="F150" s="8">
        <f t="shared" si="60"/>
        <v>20177</v>
      </c>
      <c r="G150" s="8">
        <f t="shared" si="60"/>
        <v>19850</v>
      </c>
      <c r="H150" s="8">
        <f t="shared" si="60"/>
        <v>23932</v>
      </c>
      <c r="I150" s="8">
        <f t="shared" si="60"/>
        <v>21926</v>
      </c>
      <c r="J150" s="8">
        <f t="shared" si="60"/>
        <v>14348</v>
      </c>
      <c r="K150" s="8">
        <f t="shared" si="60"/>
        <v>14166</v>
      </c>
      <c r="L150" s="8">
        <f t="shared" si="60"/>
        <v>29716</v>
      </c>
      <c r="M150" s="8">
        <f t="shared" si="60"/>
        <v>19948</v>
      </c>
      <c r="N150" s="8">
        <f t="shared" si="60"/>
        <v>29987</v>
      </c>
      <c r="O150" s="35">
        <v>0</v>
      </c>
    </row>
    <row r="151" spans="1:15" hidden="1" x14ac:dyDescent="0.3">
      <c r="A151"/>
      <c r="B151" s="34" t="s">
        <v>271</v>
      </c>
      <c r="C151" s="8">
        <f t="shared" ref="C151:N151" si="61">C50+C62+C68</f>
        <v>72957</v>
      </c>
      <c r="D151" s="8">
        <f t="shared" si="61"/>
        <v>62938</v>
      </c>
      <c r="E151" s="8">
        <f t="shared" si="61"/>
        <v>44416</v>
      </c>
      <c r="F151" s="8">
        <f t="shared" si="61"/>
        <v>45590.5</v>
      </c>
      <c r="G151" s="8">
        <f t="shared" si="61"/>
        <v>35340</v>
      </c>
      <c r="H151" s="8">
        <f t="shared" si="61"/>
        <v>39608</v>
      </c>
      <c r="I151" s="8">
        <f t="shared" si="61"/>
        <v>53247</v>
      </c>
      <c r="J151" s="8">
        <f t="shared" si="61"/>
        <v>52835.5</v>
      </c>
      <c r="K151" s="8">
        <f t="shared" si="61"/>
        <v>36796</v>
      </c>
      <c r="L151" s="8">
        <f t="shared" si="61"/>
        <v>67691</v>
      </c>
      <c r="M151" s="8">
        <f t="shared" si="61"/>
        <v>46875</v>
      </c>
      <c r="N151" s="8">
        <f t="shared" si="61"/>
        <v>51423</v>
      </c>
      <c r="O151" s="35">
        <v>0</v>
      </c>
    </row>
    <row r="152" spans="1:15" hidden="1" x14ac:dyDescent="0.3">
      <c r="A152"/>
      <c r="B152" s="34" t="s">
        <v>272</v>
      </c>
      <c r="C152" s="8">
        <f t="shared" ref="C152:N152" si="62">C67</f>
        <v>12604</v>
      </c>
      <c r="D152" s="8">
        <f t="shared" si="62"/>
        <v>5917</v>
      </c>
      <c r="E152" s="8">
        <f t="shared" si="62"/>
        <v>2746</v>
      </c>
      <c r="F152" s="8">
        <f t="shared" si="62"/>
        <v>1909</v>
      </c>
      <c r="G152" s="8">
        <f t="shared" si="62"/>
        <v>1407</v>
      </c>
      <c r="H152" s="8">
        <f t="shared" si="62"/>
        <v>1608</v>
      </c>
      <c r="I152" s="8">
        <f t="shared" si="62"/>
        <v>2077</v>
      </c>
      <c r="J152" s="8">
        <f t="shared" si="62"/>
        <v>2479</v>
      </c>
      <c r="K152" s="8">
        <f t="shared" si="62"/>
        <v>891</v>
      </c>
      <c r="L152" s="8">
        <f t="shared" si="62"/>
        <v>3350</v>
      </c>
      <c r="M152" s="8">
        <f t="shared" si="62"/>
        <v>2144</v>
      </c>
      <c r="N152" s="8">
        <f t="shared" si="62"/>
        <v>3283</v>
      </c>
      <c r="O152" s="35">
        <v>0</v>
      </c>
    </row>
    <row r="153" spans="1:15" hidden="1" x14ac:dyDescent="0.3">
      <c r="A153"/>
      <c r="B153" s="34" t="s">
        <v>273</v>
      </c>
      <c r="C153" s="8">
        <f t="shared" ref="C153:N153" si="63">C84+C78+C75</f>
        <v>23296</v>
      </c>
      <c r="D153" s="8">
        <f t="shared" si="63"/>
        <v>13307</v>
      </c>
      <c r="E153" s="8">
        <f t="shared" si="63"/>
        <v>14091</v>
      </c>
      <c r="F153" s="8">
        <f t="shared" si="63"/>
        <v>7170.85</v>
      </c>
      <c r="G153" s="8">
        <f t="shared" si="63"/>
        <v>338494.65</v>
      </c>
      <c r="H153" s="8">
        <f t="shared" si="63"/>
        <v>10618.76</v>
      </c>
      <c r="I153" s="8">
        <f t="shared" si="63"/>
        <v>23390.32</v>
      </c>
      <c r="J153" s="8">
        <f t="shared" si="63"/>
        <v>27471.200000000001</v>
      </c>
      <c r="K153" s="8">
        <f t="shared" si="63"/>
        <v>33501.599999999999</v>
      </c>
      <c r="L153" s="8">
        <f t="shared" si="63"/>
        <v>44715.040000000001</v>
      </c>
      <c r="M153" s="8">
        <f t="shared" si="63"/>
        <v>123497.4</v>
      </c>
      <c r="N153" s="8">
        <f t="shared" si="63"/>
        <v>56413</v>
      </c>
      <c r="O153" s="35">
        <v>0</v>
      </c>
    </row>
    <row r="154" spans="1:15" hidden="1" x14ac:dyDescent="0.3">
      <c r="A154"/>
      <c r="B154" s="34" t="s">
        <v>274</v>
      </c>
      <c r="C154" s="8">
        <f t="shared" ref="C154:N154" si="64">C80</f>
        <v>36766.42</v>
      </c>
      <c r="D154" s="8">
        <f t="shared" si="64"/>
        <v>66015.11</v>
      </c>
      <c r="E154" s="8">
        <f t="shared" si="64"/>
        <v>5865.61</v>
      </c>
      <c r="F154" s="8">
        <f t="shared" si="64"/>
        <v>4690.4900000000007</v>
      </c>
      <c r="G154" s="8">
        <f t="shared" si="64"/>
        <v>5224.3900000000003</v>
      </c>
      <c r="H154" s="8">
        <f t="shared" si="64"/>
        <v>5257.4900000000007</v>
      </c>
      <c r="I154" s="8">
        <f t="shared" si="64"/>
        <v>4411.91</v>
      </c>
      <c r="J154" s="8">
        <f t="shared" si="64"/>
        <v>3314.05</v>
      </c>
      <c r="K154" s="8">
        <f t="shared" si="64"/>
        <v>202386.47</v>
      </c>
      <c r="L154" s="8">
        <f t="shared" si="64"/>
        <v>101800.51999999999</v>
      </c>
      <c r="M154" s="8">
        <f t="shared" si="64"/>
        <v>1297.77</v>
      </c>
      <c r="N154" s="8">
        <f t="shared" si="64"/>
        <v>816.33999999999992</v>
      </c>
      <c r="O154" s="35">
        <v>0</v>
      </c>
    </row>
    <row r="155" spans="1:15" ht="13.5" hidden="1" customHeight="1" x14ac:dyDescent="0.3">
      <c r="A155"/>
      <c r="B155" s="34" t="s">
        <v>275</v>
      </c>
      <c r="C155" s="8">
        <f t="shared" ref="C155:N155" si="65">C124</f>
        <v>0</v>
      </c>
      <c r="D155" s="8">
        <f t="shared" si="65"/>
        <v>0</v>
      </c>
      <c r="E155" s="8">
        <f t="shared" si="65"/>
        <v>0</v>
      </c>
      <c r="F155" s="8">
        <f t="shared" si="65"/>
        <v>0</v>
      </c>
      <c r="G155" s="8">
        <f t="shared" si="65"/>
        <v>0</v>
      </c>
      <c r="H155" s="8">
        <f t="shared" si="65"/>
        <v>0</v>
      </c>
      <c r="I155" s="8">
        <f t="shared" si="65"/>
        <v>0</v>
      </c>
      <c r="J155" s="8">
        <f t="shared" si="65"/>
        <v>0</v>
      </c>
      <c r="K155" s="8">
        <f t="shared" si="65"/>
        <v>0</v>
      </c>
      <c r="L155" s="8">
        <f t="shared" si="65"/>
        <v>0</v>
      </c>
      <c r="M155" s="8">
        <f t="shared" si="65"/>
        <v>0</v>
      </c>
      <c r="N155" s="8">
        <f t="shared" si="65"/>
        <v>0</v>
      </c>
      <c r="O155" s="35">
        <v>0</v>
      </c>
    </row>
    <row r="156" spans="1:15" ht="18" customHeight="1" x14ac:dyDescent="0.3">
      <c r="A156"/>
      <c r="B156" s="29" t="s">
        <v>276</v>
      </c>
      <c r="C156" s="30">
        <f>C157+C158+C159</f>
        <v>9145481.1199999992</v>
      </c>
      <c r="D156" s="30">
        <f t="shared" ref="D156:N156" si="66">D157+D158+D159</f>
        <v>12741153.879999999</v>
      </c>
      <c r="E156" s="30">
        <f t="shared" si="66"/>
        <v>14730021.119999997</v>
      </c>
      <c r="F156" s="30">
        <f t="shared" si="66"/>
        <v>9903553.3999999985</v>
      </c>
      <c r="G156" s="30">
        <f t="shared" si="66"/>
        <v>11376994.189999998</v>
      </c>
      <c r="H156" s="30">
        <f t="shared" si="66"/>
        <v>14878097.010000002</v>
      </c>
      <c r="I156" s="30">
        <f t="shared" si="66"/>
        <v>13792558.960000001</v>
      </c>
      <c r="J156" s="30">
        <f t="shared" si="66"/>
        <v>10944106.43</v>
      </c>
      <c r="K156" s="30">
        <f t="shared" si="66"/>
        <v>11210305.619999997</v>
      </c>
      <c r="L156" s="30">
        <f t="shared" si="66"/>
        <v>10819951.830000002</v>
      </c>
      <c r="M156" s="30">
        <f t="shared" si="66"/>
        <v>6481388.3699999992</v>
      </c>
      <c r="N156" s="30">
        <f t="shared" si="66"/>
        <v>7983853.8499999996</v>
      </c>
      <c r="O156" s="30">
        <f>SUM(C156:N156)</f>
        <v>134007465.78000002</v>
      </c>
    </row>
    <row r="157" spans="1:15" x14ac:dyDescent="0.3">
      <c r="A157"/>
      <c r="B157" s="31" t="s">
        <v>277</v>
      </c>
      <c r="C157" s="32">
        <f t="shared" ref="C157:N157" si="67">C88+C113+C114+C115</f>
        <v>6118518.3199999994</v>
      </c>
      <c r="D157" s="32">
        <f t="shared" si="67"/>
        <v>9714191.089999998</v>
      </c>
      <c r="E157" s="32">
        <f t="shared" si="67"/>
        <v>11703058.329999998</v>
      </c>
      <c r="F157" s="32">
        <f t="shared" si="67"/>
        <v>6876590.6099999994</v>
      </c>
      <c r="G157" s="32">
        <f t="shared" si="67"/>
        <v>8350031.3999999985</v>
      </c>
      <c r="H157" s="32">
        <f t="shared" si="67"/>
        <v>11223134.220000001</v>
      </c>
      <c r="I157" s="32">
        <f t="shared" si="67"/>
        <v>10765596.17</v>
      </c>
      <c r="J157" s="32">
        <f t="shared" si="67"/>
        <v>7817143.6399999997</v>
      </c>
      <c r="K157" s="32">
        <f t="shared" si="67"/>
        <v>8183342.8299999982</v>
      </c>
      <c r="L157" s="32">
        <f>L88+L113+L114+L115</f>
        <v>7671694.7400000012</v>
      </c>
      <c r="M157" s="32">
        <f t="shared" si="67"/>
        <v>5202695.9799999995</v>
      </c>
      <c r="N157" s="32">
        <f t="shared" si="67"/>
        <v>6705161.46</v>
      </c>
      <c r="O157" s="33">
        <f>SUM(C157:N157)</f>
        <v>100331158.78999998</v>
      </c>
    </row>
    <row r="158" spans="1:15" x14ac:dyDescent="0.3">
      <c r="A158"/>
      <c r="B158" s="31" t="s">
        <v>278</v>
      </c>
      <c r="C158" s="32">
        <f t="shared" ref="C158:N158" si="68">C102+C103</f>
        <v>3026962.8</v>
      </c>
      <c r="D158" s="32">
        <f t="shared" si="68"/>
        <v>3026962.79</v>
      </c>
      <c r="E158" s="32">
        <f t="shared" si="68"/>
        <v>3026962.79</v>
      </c>
      <c r="F158" s="32">
        <f t="shared" si="68"/>
        <v>3026962.79</v>
      </c>
      <c r="G158" s="32">
        <f t="shared" si="68"/>
        <v>3026962.79</v>
      </c>
      <c r="H158" s="32">
        <f t="shared" si="68"/>
        <v>3026962.79</v>
      </c>
      <c r="I158" s="32">
        <f t="shared" si="68"/>
        <v>3026962.79</v>
      </c>
      <c r="J158" s="32">
        <f t="shared" si="68"/>
        <v>3026962.79</v>
      </c>
      <c r="K158" s="32">
        <f t="shared" si="68"/>
        <v>3026962.79</v>
      </c>
      <c r="L158" s="32">
        <f>L102+L103</f>
        <v>3026962.79</v>
      </c>
      <c r="M158" s="32">
        <f t="shared" si="68"/>
        <v>1278692.3899999999</v>
      </c>
      <c r="N158" s="32">
        <f t="shared" si="68"/>
        <v>1278692.3899999999</v>
      </c>
      <c r="O158" s="33">
        <f>SUM(C158:N158)</f>
        <v>32827012.689999994</v>
      </c>
    </row>
    <row r="159" spans="1:15" x14ac:dyDescent="0.3">
      <c r="A159"/>
      <c r="B159" s="31" t="s">
        <v>279</v>
      </c>
      <c r="C159" s="32">
        <f t="shared" ref="C159:N159" si="69">C108+C109+C110</f>
        <v>0</v>
      </c>
      <c r="D159" s="32">
        <f t="shared" si="69"/>
        <v>0</v>
      </c>
      <c r="E159" s="32">
        <f t="shared" si="69"/>
        <v>0</v>
      </c>
      <c r="F159" s="32">
        <f t="shared" si="69"/>
        <v>0</v>
      </c>
      <c r="G159" s="32">
        <f t="shared" si="69"/>
        <v>0</v>
      </c>
      <c r="H159" s="32">
        <f t="shared" si="69"/>
        <v>628000</v>
      </c>
      <c r="I159" s="32">
        <f t="shared" si="69"/>
        <v>0</v>
      </c>
      <c r="J159" s="32">
        <f>J108+J109+J110</f>
        <v>100000</v>
      </c>
      <c r="K159" s="32">
        <f t="shared" si="69"/>
        <v>0</v>
      </c>
      <c r="L159" s="32">
        <f>L108+L109+L110</f>
        <v>121294.3</v>
      </c>
      <c r="M159" s="32">
        <f t="shared" si="69"/>
        <v>0</v>
      </c>
      <c r="N159" s="32">
        <f t="shared" si="69"/>
        <v>0</v>
      </c>
      <c r="O159" s="33">
        <f>SUM(C159:N159)</f>
        <v>849294.3</v>
      </c>
    </row>
    <row r="160" spans="1:15" ht="21" x14ac:dyDescent="0.4">
      <c r="A160"/>
      <c r="B160" s="36" t="s">
        <v>251</v>
      </c>
      <c r="C160" s="37">
        <f t="shared" ref="C160:O160" si="70">C156+C129</f>
        <v>18697790.039999999</v>
      </c>
      <c r="D160" s="37">
        <f t="shared" si="70"/>
        <v>16779168.869999997</v>
      </c>
      <c r="E160" s="37">
        <f t="shared" si="70"/>
        <v>16608146.619999997</v>
      </c>
      <c r="F160" s="37">
        <f t="shared" si="70"/>
        <v>10669991.539999999</v>
      </c>
      <c r="G160" s="37">
        <f t="shared" si="70"/>
        <v>12257047.929999998</v>
      </c>
      <c r="H160" s="37">
        <f t="shared" si="70"/>
        <v>16299031.350000001</v>
      </c>
      <c r="I160" s="37">
        <f t="shared" si="70"/>
        <v>15545232.260000002</v>
      </c>
      <c r="J160" s="37">
        <f t="shared" si="70"/>
        <v>13037683.619999999</v>
      </c>
      <c r="K160" s="37">
        <f t="shared" si="70"/>
        <v>12707777.629999997</v>
      </c>
      <c r="L160" s="37">
        <f>L156+L129</f>
        <v>13001644.860000003</v>
      </c>
      <c r="M160" s="37">
        <f t="shared" si="70"/>
        <v>7975029.6599999992</v>
      </c>
      <c r="N160" s="37">
        <f t="shared" si="70"/>
        <v>9695909.0499999989</v>
      </c>
      <c r="O160" s="38">
        <f t="shared" si="70"/>
        <v>163274453.43000001</v>
      </c>
    </row>
    <row r="161" spans="3:15" x14ac:dyDescent="0.3"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</row>
    <row r="162" spans="3:15" x14ac:dyDescent="0.3"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</row>
    <row r="163" spans="3:15" x14ac:dyDescent="0.3"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</row>
    <row r="164" spans="3:15" x14ac:dyDescent="0.3"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</row>
    <row r="165" spans="3:15" x14ac:dyDescent="0.3"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</row>
    <row r="166" spans="3:15" x14ac:dyDescent="0.3"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</row>
    <row r="167" spans="3:15" x14ac:dyDescent="0.3"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</row>
  </sheetData>
  <mergeCells count="3">
    <mergeCell ref="A1:N1"/>
    <mergeCell ref="A2:N2"/>
    <mergeCell ref="A126:B126"/>
  </mergeCells>
  <pageMargins left="1" right="1" top="1" bottom="1" header="0.5" footer="0.5"/>
  <pageSetup paperSize="5" scale="1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 Ingresos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Jorge Cárdenas</cp:lastModifiedBy>
  <dcterms:created xsi:type="dcterms:W3CDTF">2025-02-13T19:42:56Z</dcterms:created>
  <dcterms:modified xsi:type="dcterms:W3CDTF">2025-04-21T20:24:46Z</dcterms:modified>
</cp:coreProperties>
</file>