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Transparencia\Documentos\Articulo15\FraccionXII\Ingresos\2023\"/>
    </mc:Choice>
  </mc:AlternateContent>
  <xr:revisionPtr revIDLastSave="0" documentId="8_{C7B009D9-45A5-4E9B-B139-49EC52DDAF40}" xr6:coauthVersionLast="47" xr6:coauthVersionMax="47" xr10:uidLastSave="{00000000-0000-0000-0000-000000000000}"/>
  <bookViews>
    <workbookView xWindow="-120" yWindow="-120" windowWidth="20730" windowHeight="11160" xr2:uid="{762B762B-EA26-46B1-92B7-7B0F18A86877}"/>
  </bookViews>
  <sheets>
    <sheet name="Concentrado Ingresos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44" i="1" l="1"/>
  <c r="K144" i="1"/>
  <c r="J144" i="1"/>
  <c r="F144" i="1"/>
  <c r="L143" i="1"/>
  <c r="L142" i="1"/>
  <c r="M140" i="1"/>
  <c r="E140" i="1"/>
  <c r="N139" i="1"/>
  <c r="M139" i="1"/>
  <c r="J139" i="1"/>
  <c r="I139" i="1"/>
  <c r="E139" i="1"/>
  <c r="N138" i="1"/>
  <c r="J138" i="1"/>
  <c r="N137" i="1"/>
  <c r="M137" i="1"/>
  <c r="L137" i="1"/>
  <c r="K137" i="1"/>
  <c r="J137" i="1"/>
  <c r="I137" i="1"/>
  <c r="H137" i="1"/>
  <c r="F137" i="1"/>
  <c r="N135" i="1"/>
  <c r="M135" i="1"/>
  <c r="J135" i="1"/>
  <c r="I135" i="1"/>
  <c r="H129" i="1"/>
  <c r="G123" i="1"/>
  <c r="F123" i="1"/>
  <c r="E123" i="1"/>
  <c r="D123" i="1"/>
  <c r="D122" i="1" s="1"/>
  <c r="D140" i="1" s="1"/>
  <c r="C123" i="1"/>
  <c r="N122" i="1"/>
  <c r="N140" i="1" s="1"/>
  <c r="M122" i="1"/>
  <c r="L122" i="1"/>
  <c r="L140" i="1" s="1"/>
  <c r="K122" i="1"/>
  <c r="K140" i="1" s="1"/>
  <c r="J122" i="1"/>
  <c r="J140" i="1" s="1"/>
  <c r="I122" i="1"/>
  <c r="I140" i="1" s="1"/>
  <c r="H122" i="1"/>
  <c r="H140" i="1" s="1"/>
  <c r="G122" i="1"/>
  <c r="G140" i="1" s="1"/>
  <c r="F122" i="1"/>
  <c r="F140" i="1" s="1"/>
  <c r="E122" i="1"/>
  <c r="C122" i="1"/>
  <c r="C140" i="1" s="1"/>
  <c r="O121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O120" i="1" s="1"/>
  <c r="F113" i="1"/>
  <c r="E113" i="1"/>
  <c r="D113" i="1"/>
  <c r="C113" i="1"/>
  <c r="G112" i="1"/>
  <c r="F112" i="1"/>
  <c r="E112" i="1"/>
  <c r="E102" i="1" s="1"/>
  <c r="E144" i="1" s="1"/>
  <c r="D112" i="1"/>
  <c r="D102" i="1" s="1"/>
  <c r="D144" i="1" s="1"/>
  <c r="C112" i="1"/>
  <c r="F111" i="1"/>
  <c r="G108" i="1"/>
  <c r="G102" i="1" s="1"/>
  <c r="G144" i="1" s="1"/>
  <c r="C108" i="1"/>
  <c r="C102" i="1" s="1"/>
  <c r="N102" i="1"/>
  <c r="M102" i="1"/>
  <c r="M144" i="1" s="1"/>
  <c r="L102" i="1"/>
  <c r="L144" i="1" s="1"/>
  <c r="K102" i="1"/>
  <c r="J102" i="1"/>
  <c r="I102" i="1"/>
  <c r="I144" i="1" s="1"/>
  <c r="H102" i="1"/>
  <c r="H144" i="1" s="1"/>
  <c r="F102" i="1"/>
  <c r="F101" i="1"/>
  <c r="F99" i="1" s="1"/>
  <c r="F143" i="1" s="1"/>
  <c r="F141" i="1" s="1"/>
  <c r="D101" i="1"/>
  <c r="D99" i="1" s="1"/>
  <c r="F100" i="1"/>
  <c r="D100" i="1"/>
  <c r="O100" i="1" s="1"/>
  <c r="N99" i="1"/>
  <c r="N143" i="1" s="1"/>
  <c r="M99" i="1"/>
  <c r="M143" i="1" s="1"/>
  <c r="L99" i="1"/>
  <c r="K99" i="1"/>
  <c r="K143" i="1" s="1"/>
  <c r="J99" i="1"/>
  <c r="J143" i="1" s="1"/>
  <c r="I99" i="1"/>
  <c r="I143" i="1" s="1"/>
  <c r="H99" i="1"/>
  <c r="H143" i="1" s="1"/>
  <c r="G99" i="1"/>
  <c r="G143" i="1" s="1"/>
  <c r="E99" i="1"/>
  <c r="E143" i="1" s="1"/>
  <c r="C99" i="1"/>
  <c r="C143" i="1" s="1"/>
  <c r="G98" i="1"/>
  <c r="F98" i="1"/>
  <c r="E98" i="1"/>
  <c r="D98" i="1"/>
  <c r="C98" i="1"/>
  <c r="D97" i="1"/>
  <c r="G96" i="1"/>
  <c r="F96" i="1"/>
  <c r="E96" i="1"/>
  <c r="D96" i="1"/>
  <c r="C96" i="1"/>
  <c r="F95" i="1"/>
  <c r="E95" i="1"/>
  <c r="D95" i="1"/>
  <c r="C95" i="1"/>
  <c r="F92" i="1"/>
  <c r="F86" i="1" s="1"/>
  <c r="F142" i="1" s="1"/>
  <c r="E92" i="1"/>
  <c r="D92" i="1"/>
  <c r="C92" i="1"/>
  <c r="G89" i="1"/>
  <c r="G86" i="1" s="1"/>
  <c r="G142" i="1" s="1"/>
  <c r="F89" i="1"/>
  <c r="E89" i="1"/>
  <c r="D89" i="1"/>
  <c r="C89" i="1"/>
  <c r="F88" i="1"/>
  <c r="E88" i="1"/>
  <c r="D88" i="1"/>
  <c r="F87" i="1"/>
  <c r="E87" i="1"/>
  <c r="D87" i="1"/>
  <c r="C87" i="1"/>
  <c r="C86" i="1" s="1"/>
  <c r="N86" i="1"/>
  <c r="N142" i="1" s="1"/>
  <c r="N141" i="1" s="1"/>
  <c r="M86" i="1"/>
  <c r="M142" i="1" s="1"/>
  <c r="M141" i="1" s="1"/>
  <c r="L86" i="1"/>
  <c r="K86" i="1"/>
  <c r="K142" i="1" s="1"/>
  <c r="J86" i="1"/>
  <c r="J142" i="1" s="1"/>
  <c r="J141" i="1" s="1"/>
  <c r="I86" i="1"/>
  <c r="I142" i="1" s="1"/>
  <c r="I141" i="1" s="1"/>
  <c r="H86" i="1"/>
  <c r="H142" i="1" s="1"/>
  <c r="E86" i="1"/>
  <c r="E142" i="1" s="1"/>
  <c r="E141" i="1" s="1"/>
  <c r="D86" i="1"/>
  <c r="D142" i="1" s="1"/>
  <c r="N84" i="1"/>
  <c r="M84" i="1"/>
  <c r="L84" i="1"/>
  <c r="K84" i="1"/>
  <c r="J84" i="1"/>
  <c r="I84" i="1"/>
  <c r="H84" i="1"/>
  <c r="G84" i="1"/>
  <c r="F84" i="1"/>
  <c r="E84" i="1"/>
  <c r="D84" i="1"/>
  <c r="C84" i="1"/>
  <c r="O84" i="1" s="1"/>
  <c r="G83" i="1"/>
  <c r="G82" i="1" s="1"/>
  <c r="G138" i="1" s="1"/>
  <c r="F83" i="1"/>
  <c r="E83" i="1"/>
  <c r="D83" i="1"/>
  <c r="O83" i="1" s="1"/>
  <c r="C83" i="1"/>
  <c r="C82" i="1" s="1"/>
  <c r="N82" i="1"/>
  <c r="M82" i="1"/>
  <c r="M138" i="1" s="1"/>
  <c r="L82" i="1"/>
  <c r="L138" i="1" s="1"/>
  <c r="K82" i="1"/>
  <c r="K138" i="1" s="1"/>
  <c r="J82" i="1"/>
  <c r="I82" i="1"/>
  <c r="I138" i="1" s="1"/>
  <c r="H82" i="1"/>
  <c r="H138" i="1" s="1"/>
  <c r="F82" i="1"/>
  <c r="E82" i="1"/>
  <c r="D82" i="1"/>
  <c r="D138" i="1" s="1"/>
  <c r="G81" i="1"/>
  <c r="G80" i="1" s="1"/>
  <c r="G139" i="1" s="1"/>
  <c r="F81" i="1"/>
  <c r="F80" i="1" s="1"/>
  <c r="F139" i="1" s="1"/>
  <c r="E81" i="1"/>
  <c r="D81" i="1"/>
  <c r="C81" i="1"/>
  <c r="O81" i="1" s="1"/>
  <c r="N80" i="1"/>
  <c r="M80" i="1"/>
  <c r="L80" i="1"/>
  <c r="L139" i="1" s="1"/>
  <c r="K80" i="1"/>
  <c r="K139" i="1" s="1"/>
  <c r="J80" i="1"/>
  <c r="I80" i="1"/>
  <c r="H80" i="1"/>
  <c r="H139" i="1" s="1"/>
  <c r="E80" i="1"/>
  <c r="D80" i="1"/>
  <c r="D139" i="1" s="1"/>
  <c r="C80" i="1"/>
  <c r="C139" i="1" s="1"/>
  <c r="G78" i="1"/>
  <c r="F78" i="1"/>
  <c r="F138" i="1" s="1"/>
  <c r="E78" i="1"/>
  <c r="E77" i="1" s="1"/>
  <c r="D78" i="1"/>
  <c r="C78" i="1"/>
  <c r="N77" i="1"/>
  <c r="M77" i="1"/>
  <c r="L77" i="1"/>
  <c r="K77" i="1"/>
  <c r="J77" i="1"/>
  <c r="I77" i="1"/>
  <c r="H77" i="1"/>
  <c r="G77" i="1"/>
  <c r="F77" i="1"/>
  <c r="D77" i="1"/>
  <c r="C77" i="1"/>
  <c r="O77" i="1" s="1"/>
  <c r="G76" i="1"/>
  <c r="F76" i="1"/>
  <c r="E76" i="1"/>
  <c r="D76" i="1"/>
  <c r="D74" i="1" s="1"/>
  <c r="C76" i="1"/>
  <c r="G75" i="1"/>
  <c r="F75" i="1"/>
  <c r="F74" i="1" s="1"/>
  <c r="O74" i="1" s="1"/>
  <c r="E75" i="1"/>
  <c r="E74" i="1" s="1"/>
  <c r="D75" i="1"/>
  <c r="C75" i="1"/>
  <c r="O75" i="1" s="1"/>
  <c r="N74" i="1"/>
  <c r="M74" i="1"/>
  <c r="L74" i="1"/>
  <c r="K74" i="1"/>
  <c r="J74" i="1"/>
  <c r="I74" i="1"/>
  <c r="H74" i="1"/>
  <c r="G74" i="1"/>
  <c r="C74" i="1"/>
  <c r="G73" i="1"/>
  <c r="F73" i="1"/>
  <c r="E73" i="1"/>
  <c r="D73" i="1"/>
  <c r="O73" i="1" s="1"/>
  <c r="C73" i="1"/>
  <c r="G72" i="1"/>
  <c r="F72" i="1"/>
  <c r="F71" i="1" s="1"/>
  <c r="E72" i="1"/>
  <c r="E71" i="1" s="1"/>
  <c r="D72" i="1"/>
  <c r="C72" i="1"/>
  <c r="O72" i="1" s="1"/>
  <c r="N71" i="1"/>
  <c r="M71" i="1"/>
  <c r="L71" i="1"/>
  <c r="K71" i="1"/>
  <c r="J71" i="1"/>
  <c r="I71" i="1"/>
  <c r="H71" i="1"/>
  <c r="G71" i="1"/>
  <c r="D71" i="1"/>
  <c r="C71" i="1"/>
  <c r="O71" i="1" s="1"/>
  <c r="O70" i="1"/>
  <c r="N69" i="1"/>
  <c r="M69" i="1"/>
  <c r="L69" i="1"/>
  <c r="K69" i="1"/>
  <c r="J69" i="1"/>
  <c r="I69" i="1"/>
  <c r="H69" i="1"/>
  <c r="G69" i="1"/>
  <c r="F69" i="1"/>
  <c r="E69" i="1"/>
  <c r="D69" i="1"/>
  <c r="C69" i="1"/>
  <c r="G68" i="1"/>
  <c r="G66" i="1" s="1"/>
  <c r="F68" i="1"/>
  <c r="E68" i="1"/>
  <c r="D68" i="1"/>
  <c r="D66" i="1" s="1"/>
  <c r="C68" i="1"/>
  <c r="O68" i="1" s="1"/>
  <c r="G67" i="1"/>
  <c r="G137" i="1" s="1"/>
  <c r="F67" i="1"/>
  <c r="E67" i="1"/>
  <c r="E66" i="1" s="1"/>
  <c r="D67" i="1"/>
  <c r="D137" i="1" s="1"/>
  <c r="C67" i="1"/>
  <c r="C137" i="1" s="1"/>
  <c r="N66" i="1"/>
  <c r="M66" i="1"/>
  <c r="L66" i="1"/>
  <c r="K66" i="1"/>
  <c r="J66" i="1"/>
  <c r="I66" i="1"/>
  <c r="H66" i="1"/>
  <c r="F66" i="1"/>
  <c r="C66" i="1"/>
  <c r="G65" i="1"/>
  <c r="F65" i="1"/>
  <c r="E65" i="1"/>
  <c r="E62" i="1" s="1"/>
  <c r="D65" i="1"/>
  <c r="O65" i="1" s="1"/>
  <c r="C65" i="1"/>
  <c r="O64" i="1"/>
  <c r="G63" i="1"/>
  <c r="G62" i="1" s="1"/>
  <c r="F63" i="1"/>
  <c r="E63" i="1"/>
  <c r="D63" i="1"/>
  <c r="D62" i="1" s="1"/>
  <c r="C63" i="1"/>
  <c r="C62" i="1" s="1"/>
  <c r="N62" i="1"/>
  <c r="M62" i="1"/>
  <c r="L62" i="1"/>
  <c r="K62" i="1"/>
  <c r="J62" i="1"/>
  <c r="I62" i="1"/>
  <c r="I136" i="1" s="1"/>
  <c r="H62" i="1"/>
  <c r="F62" i="1"/>
  <c r="G61" i="1"/>
  <c r="F61" i="1"/>
  <c r="E61" i="1"/>
  <c r="D61" i="1"/>
  <c r="C61" i="1"/>
  <c r="G60" i="1"/>
  <c r="F60" i="1"/>
  <c r="E60" i="1"/>
  <c r="E58" i="1" s="1"/>
  <c r="E135" i="1" s="1"/>
  <c r="D60" i="1"/>
  <c r="O60" i="1" s="1"/>
  <c r="C60" i="1"/>
  <c r="G59" i="1"/>
  <c r="F59" i="1"/>
  <c r="F58" i="1" s="1"/>
  <c r="F135" i="1" s="1"/>
  <c r="E59" i="1"/>
  <c r="D59" i="1"/>
  <c r="C59" i="1"/>
  <c r="C58" i="1" s="1"/>
  <c r="N58" i="1"/>
  <c r="M58" i="1"/>
  <c r="L58" i="1"/>
  <c r="L135" i="1" s="1"/>
  <c r="K58" i="1"/>
  <c r="K135" i="1" s="1"/>
  <c r="J58" i="1"/>
  <c r="I58" i="1"/>
  <c r="H58" i="1"/>
  <c r="H135" i="1" s="1"/>
  <c r="G58" i="1"/>
  <c r="G135" i="1" s="1"/>
  <c r="D58" i="1"/>
  <c r="D135" i="1" s="1"/>
  <c r="O57" i="1"/>
  <c r="G56" i="1"/>
  <c r="F56" i="1"/>
  <c r="E56" i="1"/>
  <c r="D56" i="1"/>
  <c r="C56" i="1"/>
  <c r="O56" i="1" s="1"/>
  <c r="G55" i="1"/>
  <c r="F55" i="1"/>
  <c r="E55" i="1"/>
  <c r="E53" i="1" s="1"/>
  <c r="E129" i="1" s="1"/>
  <c r="D55" i="1"/>
  <c r="O55" i="1" s="1"/>
  <c r="C55" i="1"/>
  <c r="G54" i="1"/>
  <c r="F54" i="1"/>
  <c r="F53" i="1" s="1"/>
  <c r="F129" i="1" s="1"/>
  <c r="E54" i="1"/>
  <c r="D54" i="1"/>
  <c r="C54" i="1"/>
  <c r="C53" i="1" s="1"/>
  <c r="N53" i="1"/>
  <c r="N129" i="1" s="1"/>
  <c r="M53" i="1"/>
  <c r="M129" i="1" s="1"/>
  <c r="L53" i="1"/>
  <c r="L129" i="1" s="1"/>
  <c r="K53" i="1"/>
  <c r="K129" i="1" s="1"/>
  <c r="J53" i="1"/>
  <c r="J129" i="1" s="1"/>
  <c r="I53" i="1"/>
  <c r="I129" i="1" s="1"/>
  <c r="H53" i="1"/>
  <c r="G53" i="1"/>
  <c r="G129" i="1" s="1"/>
  <c r="D53" i="1"/>
  <c r="D129" i="1" s="1"/>
  <c r="G52" i="1"/>
  <c r="F52" i="1"/>
  <c r="F50" i="1" s="1"/>
  <c r="F136" i="1" s="1"/>
  <c r="E52" i="1"/>
  <c r="D52" i="1"/>
  <c r="C52" i="1"/>
  <c r="O52" i="1" s="1"/>
  <c r="G51" i="1"/>
  <c r="F51" i="1"/>
  <c r="E51" i="1"/>
  <c r="D51" i="1"/>
  <c r="O51" i="1" s="1"/>
  <c r="C51" i="1"/>
  <c r="N50" i="1"/>
  <c r="N136" i="1" s="1"/>
  <c r="M50" i="1"/>
  <c r="M136" i="1" s="1"/>
  <c r="L50" i="1"/>
  <c r="K50" i="1"/>
  <c r="K136" i="1" s="1"/>
  <c r="J50" i="1"/>
  <c r="J136" i="1" s="1"/>
  <c r="H50" i="1"/>
  <c r="H136" i="1" s="1"/>
  <c r="G50" i="1"/>
  <c r="E50" i="1"/>
  <c r="E136" i="1" s="1"/>
  <c r="D50" i="1"/>
  <c r="G49" i="1"/>
  <c r="G47" i="1" s="1"/>
  <c r="F49" i="1"/>
  <c r="F47" i="1" s="1"/>
  <c r="E49" i="1"/>
  <c r="D49" i="1"/>
  <c r="C49" i="1"/>
  <c r="O49" i="1" s="1"/>
  <c r="G48" i="1"/>
  <c r="F48" i="1"/>
  <c r="E48" i="1"/>
  <c r="D48" i="1"/>
  <c r="O48" i="1" s="1"/>
  <c r="C48" i="1"/>
  <c r="N47" i="1"/>
  <c r="M47" i="1"/>
  <c r="L47" i="1"/>
  <c r="K47" i="1"/>
  <c r="J47" i="1"/>
  <c r="I47" i="1"/>
  <c r="H47" i="1"/>
  <c r="E47" i="1"/>
  <c r="G46" i="1"/>
  <c r="O46" i="1" s="1"/>
  <c r="E46" i="1"/>
  <c r="D46" i="1"/>
  <c r="F45" i="1"/>
  <c r="D45" i="1"/>
  <c r="D43" i="1" s="1"/>
  <c r="C45" i="1"/>
  <c r="G44" i="1"/>
  <c r="F44" i="1"/>
  <c r="F43" i="1" s="1"/>
  <c r="E44" i="1"/>
  <c r="D44" i="1"/>
  <c r="C44" i="1"/>
  <c r="O44" i="1" s="1"/>
  <c r="N43" i="1"/>
  <c r="M43" i="1"/>
  <c r="L43" i="1"/>
  <c r="K43" i="1"/>
  <c r="J43" i="1"/>
  <c r="I43" i="1"/>
  <c r="H43" i="1"/>
  <c r="G43" i="1"/>
  <c r="E43" i="1"/>
  <c r="C43" i="1"/>
  <c r="G42" i="1"/>
  <c r="F42" i="1"/>
  <c r="F40" i="1" s="1"/>
  <c r="E42" i="1"/>
  <c r="E40" i="1" s="1"/>
  <c r="D42" i="1"/>
  <c r="C42" i="1"/>
  <c r="O42" i="1" s="1"/>
  <c r="G41" i="1"/>
  <c r="G40" i="1" s="1"/>
  <c r="F41" i="1"/>
  <c r="E41" i="1"/>
  <c r="D41" i="1"/>
  <c r="C41" i="1"/>
  <c r="O41" i="1" s="1"/>
  <c r="N40" i="1"/>
  <c r="M40" i="1"/>
  <c r="L40" i="1"/>
  <c r="K40" i="1"/>
  <c r="J40" i="1"/>
  <c r="I40" i="1"/>
  <c r="H40" i="1"/>
  <c r="D40" i="1"/>
  <c r="G39" i="1"/>
  <c r="G36" i="1" s="1"/>
  <c r="G134" i="1" s="1"/>
  <c r="F39" i="1"/>
  <c r="F36" i="1" s="1"/>
  <c r="F134" i="1" s="1"/>
  <c r="E39" i="1"/>
  <c r="D39" i="1"/>
  <c r="C39" i="1"/>
  <c r="O39" i="1" s="1"/>
  <c r="O38" i="1"/>
  <c r="E38" i="1"/>
  <c r="D38" i="1"/>
  <c r="C38" i="1"/>
  <c r="C36" i="1" s="1"/>
  <c r="G37" i="1"/>
  <c r="F37" i="1"/>
  <c r="E37" i="1"/>
  <c r="D37" i="1"/>
  <c r="O37" i="1" s="1"/>
  <c r="C37" i="1"/>
  <c r="N36" i="1"/>
  <c r="N134" i="1" s="1"/>
  <c r="M36" i="1"/>
  <c r="M134" i="1" s="1"/>
  <c r="L36" i="1"/>
  <c r="L134" i="1" s="1"/>
  <c r="K36" i="1"/>
  <c r="K134" i="1" s="1"/>
  <c r="J36" i="1"/>
  <c r="J134" i="1" s="1"/>
  <c r="I36" i="1"/>
  <c r="I134" i="1" s="1"/>
  <c r="H36" i="1"/>
  <c r="H134" i="1" s="1"/>
  <c r="E36" i="1"/>
  <c r="E134" i="1" s="1"/>
  <c r="O35" i="1"/>
  <c r="O34" i="1"/>
  <c r="O33" i="1"/>
  <c r="N32" i="1"/>
  <c r="M32" i="1"/>
  <c r="L32" i="1"/>
  <c r="K32" i="1"/>
  <c r="J32" i="1"/>
  <c r="I32" i="1"/>
  <c r="H32" i="1"/>
  <c r="G32" i="1"/>
  <c r="F32" i="1"/>
  <c r="E32" i="1"/>
  <c r="D32" i="1"/>
  <c r="C32" i="1"/>
  <c r="O32" i="1" s="1"/>
  <c r="O31" i="1"/>
  <c r="G30" i="1"/>
  <c r="F30" i="1"/>
  <c r="E30" i="1"/>
  <c r="D30" i="1"/>
  <c r="O30" i="1" s="1"/>
  <c r="C30" i="1"/>
  <c r="N29" i="1"/>
  <c r="N133" i="1" s="1"/>
  <c r="M29" i="1"/>
  <c r="M133" i="1" s="1"/>
  <c r="L29" i="1"/>
  <c r="L133" i="1" s="1"/>
  <c r="K29" i="1"/>
  <c r="K133" i="1" s="1"/>
  <c r="J29" i="1"/>
  <c r="J133" i="1" s="1"/>
  <c r="I29" i="1"/>
  <c r="I133" i="1" s="1"/>
  <c r="H29" i="1"/>
  <c r="H133" i="1" s="1"/>
  <c r="G29" i="1"/>
  <c r="G133" i="1" s="1"/>
  <c r="F29" i="1"/>
  <c r="F133" i="1" s="1"/>
  <c r="E29" i="1"/>
  <c r="E133" i="1" s="1"/>
  <c r="C29" i="1"/>
  <c r="C133" i="1" s="1"/>
  <c r="G28" i="1"/>
  <c r="G26" i="1" s="1"/>
  <c r="G132" i="1" s="1"/>
  <c r="F28" i="1"/>
  <c r="E28" i="1"/>
  <c r="D28" i="1"/>
  <c r="D26" i="1" s="1"/>
  <c r="D132" i="1" s="1"/>
  <c r="C28" i="1"/>
  <c r="C26" i="1" s="1"/>
  <c r="G27" i="1"/>
  <c r="F27" i="1"/>
  <c r="E27" i="1"/>
  <c r="E26" i="1" s="1"/>
  <c r="E132" i="1" s="1"/>
  <c r="D27" i="1"/>
  <c r="C27" i="1"/>
  <c r="O27" i="1" s="1"/>
  <c r="N26" i="1"/>
  <c r="N132" i="1" s="1"/>
  <c r="M26" i="1"/>
  <c r="M132" i="1" s="1"/>
  <c r="L26" i="1"/>
  <c r="L132" i="1" s="1"/>
  <c r="K26" i="1"/>
  <c r="K132" i="1" s="1"/>
  <c r="J26" i="1"/>
  <c r="J132" i="1" s="1"/>
  <c r="I26" i="1"/>
  <c r="I132" i="1" s="1"/>
  <c r="H26" i="1"/>
  <c r="H132" i="1" s="1"/>
  <c r="F26" i="1"/>
  <c r="F132" i="1" s="1"/>
  <c r="O25" i="1"/>
  <c r="N24" i="1"/>
  <c r="M24" i="1"/>
  <c r="L24" i="1"/>
  <c r="K24" i="1"/>
  <c r="J24" i="1"/>
  <c r="I24" i="1"/>
  <c r="H24" i="1"/>
  <c r="G24" i="1"/>
  <c r="F24" i="1"/>
  <c r="E24" i="1"/>
  <c r="D24" i="1"/>
  <c r="C24" i="1"/>
  <c r="O24" i="1" s="1"/>
  <c r="O23" i="1"/>
  <c r="N22" i="1"/>
  <c r="M22" i="1"/>
  <c r="L22" i="1"/>
  <c r="K22" i="1"/>
  <c r="J22" i="1"/>
  <c r="I22" i="1"/>
  <c r="H22" i="1"/>
  <c r="G22" i="1"/>
  <c r="F22" i="1"/>
  <c r="E22" i="1"/>
  <c r="D22" i="1"/>
  <c r="C22" i="1"/>
  <c r="O22" i="1" s="1"/>
  <c r="O21" i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E19" i="1"/>
  <c r="O19" i="1" s="1"/>
  <c r="N18" i="1"/>
  <c r="M18" i="1"/>
  <c r="L18" i="1"/>
  <c r="K18" i="1"/>
  <c r="J18" i="1"/>
  <c r="I18" i="1"/>
  <c r="H18" i="1"/>
  <c r="G18" i="1"/>
  <c r="F18" i="1"/>
  <c r="D18" i="1"/>
  <c r="C18" i="1"/>
  <c r="G17" i="1"/>
  <c r="F17" i="1"/>
  <c r="E17" i="1"/>
  <c r="E16" i="1" s="1"/>
  <c r="D17" i="1"/>
  <c r="C17" i="1"/>
  <c r="O17" i="1" s="1"/>
  <c r="N16" i="1"/>
  <c r="M16" i="1"/>
  <c r="L16" i="1"/>
  <c r="K16" i="1"/>
  <c r="J16" i="1"/>
  <c r="I16" i="1"/>
  <c r="H16" i="1"/>
  <c r="G16" i="1"/>
  <c r="F16" i="1"/>
  <c r="D16" i="1"/>
  <c r="C16" i="1"/>
  <c r="O16" i="1" s="1"/>
  <c r="G15" i="1"/>
  <c r="F15" i="1"/>
  <c r="E15" i="1"/>
  <c r="D15" i="1"/>
  <c r="D14" i="1" s="1"/>
  <c r="C15" i="1"/>
  <c r="N14" i="1"/>
  <c r="N131" i="1" s="1"/>
  <c r="M14" i="1"/>
  <c r="M131" i="1" s="1"/>
  <c r="L14" i="1"/>
  <c r="K14" i="1"/>
  <c r="J14" i="1"/>
  <c r="J131" i="1" s="1"/>
  <c r="I14" i="1"/>
  <c r="I131" i="1" s="1"/>
  <c r="H14" i="1"/>
  <c r="G14" i="1"/>
  <c r="F14" i="1"/>
  <c r="F131" i="1" s="1"/>
  <c r="E14" i="1"/>
  <c r="E131" i="1" s="1"/>
  <c r="C14" i="1"/>
  <c r="O13" i="1"/>
  <c r="G12" i="1"/>
  <c r="F12" i="1"/>
  <c r="E12" i="1"/>
  <c r="D12" i="1"/>
  <c r="O12" i="1" s="1"/>
  <c r="C12" i="1"/>
  <c r="N11" i="1"/>
  <c r="M11" i="1"/>
  <c r="L11" i="1"/>
  <c r="K11" i="1"/>
  <c r="J11" i="1"/>
  <c r="I11" i="1"/>
  <c r="H11" i="1"/>
  <c r="G11" i="1"/>
  <c r="F11" i="1"/>
  <c r="E11" i="1"/>
  <c r="C11" i="1"/>
  <c r="G10" i="1"/>
  <c r="G8" i="1" s="1"/>
  <c r="G128" i="1" s="1"/>
  <c r="F10" i="1"/>
  <c r="E10" i="1"/>
  <c r="D10" i="1"/>
  <c r="D8" i="1" s="1"/>
  <c r="C10" i="1"/>
  <c r="C8" i="1" s="1"/>
  <c r="G9" i="1"/>
  <c r="F9" i="1"/>
  <c r="E9" i="1"/>
  <c r="E8" i="1" s="1"/>
  <c r="D9" i="1"/>
  <c r="C9" i="1"/>
  <c r="O9" i="1" s="1"/>
  <c r="N8" i="1"/>
  <c r="N128" i="1" s="1"/>
  <c r="M8" i="1"/>
  <c r="M128" i="1" s="1"/>
  <c r="L8" i="1"/>
  <c r="L128" i="1" s="1"/>
  <c r="K8" i="1"/>
  <c r="J8" i="1"/>
  <c r="J128" i="1" s="1"/>
  <c r="I8" i="1"/>
  <c r="I128" i="1" s="1"/>
  <c r="H8" i="1"/>
  <c r="H128" i="1" s="1"/>
  <c r="F8" i="1"/>
  <c r="F128" i="1" s="1"/>
  <c r="O7" i="1"/>
  <c r="O6" i="1"/>
  <c r="O5" i="1"/>
  <c r="N4" i="1"/>
  <c r="N124" i="1" s="1"/>
  <c r="M4" i="1"/>
  <c r="L4" i="1"/>
  <c r="K4" i="1"/>
  <c r="K124" i="1" s="1"/>
  <c r="J4" i="1"/>
  <c r="J124" i="1" s="1"/>
  <c r="I4" i="1"/>
  <c r="H4" i="1"/>
  <c r="G4" i="1"/>
  <c r="F4" i="1"/>
  <c r="F124" i="1" s="1"/>
  <c r="E4" i="1"/>
  <c r="D4" i="1"/>
  <c r="C4" i="1"/>
  <c r="O66" i="1" l="1"/>
  <c r="D131" i="1"/>
  <c r="C132" i="1"/>
  <c r="O26" i="1"/>
  <c r="C129" i="1"/>
  <c r="O129" i="1" s="1"/>
  <c r="O53" i="1"/>
  <c r="O99" i="1"/>
  <c r="D143" i="1"/>
  <c r="O143" i="1" s="1"/>
  <c r="I130" i="1"/>
  <c r="I127" i="1" s="1"/>
  <c r="I145" i="1" s="1"/>
  <c r="O43" i="1"/>
  <c r="C135" i="1"/>
  <c r="O58" i="1"/>
  <c r="F130" i="1"/>
  <c r="F127" i="1" s="1"/>
  <c r="F145" i="1" s="1"/>
  <c r="J130" i="1"/>
  <c r="J127" i="1" s="1"/>
  <c r="J145" i="1" s="1"/>
  <c r="N130" i="1"/>
  <c r="N127" i="1" s="1"/>
  <c r="N145" i="1" s="1"/>
  <c r="G124" i="1"/>
  <c r="C128" i="1"/>
  <c r="O8" i="1"/>
  <c r="C134" i="1"/>
  <c r="H141" i="1"/>
  <c r="O15" i="1"/>
  <c r="O4" i="1"/>
  <c r="K128" i="1"/>
  <c r="O10" i="1"/>
  <c r="O28" i="1"/>
  <c r="L124" i="1"/>
  <c r="I124" i="1"/>
  <c r="M124" i="1"/>
  <c r="D11" i="1"/>
  <c r="D128" i="1" s="1"/>
  <c r="D127" i="1" s="1"/>
  <c r="H131" i="1"/>
  <c r="L131" i="1"/>
  <c r="D29" i="1"/>
  <c r="D133" i="1" s="1"/>
  <c r="D36" i="1"/>
  <c r="D134" i="1" s="1"/>
  <c r="C40" i="1"/>
  <c r="O40" i="1" s="1"/>
  <c r="D47" i="1"/>
  <c r="C50" i="1"/>
  <c r="G136" i="1"/>
  <c r="G130" i="1" s="1"/>
  <c r="G127" i="1" s="1"/>
  <c r="L136" i="1"/>
  <c r="L130" i="1" s="1"/>
  <c r="L127" i="1" s="1"/>
  <c r="O69" i="1"/>
  <c r="O78" i="1"/>
  <c r="O80" i="1"/>
  <c r="C138" i="1"/>
  <c r="O82" i="1"/>
  <c r="D136" i="1"/>
  <c r="O62" i="1"/>
  <c r="O101" i="1"/>
  <c r="O102" i="1"/>
  <c r="E137" i="1"/>
  <c r="O61" i="1"/>
  <c r="O63" i="1"/>
  <c r="E138" i="1"/>
  <c r="E130" i="1"/>
  <c r="M130" i="1"/>
  <c r="M127" i="1" s="1"/>
  <c r="M145" i="1" s="1"/>
  <c r="L141" i="1"/>
  <c r="H124" i="1"/>
  <c r="G131" i="1"/>
  <c r="K131" i="1"/>
  <c r="K130" i="1" s="1"/>
  <c r="O14" i="1"/>
  <c r="E18" i="1"/>
  <c r="O18" i="1" s="1"/>
  <c r="O29" i="1"/>
  <c r="C47" i="1"/>
  <c r="O47" i="1" s="1"/>
  <c r="O54" i="1"/>
  <c r="O59" i="1"/>
  <c r="K141" i="1"/>
  <c r="C142" i="1"/>
  <c r="O86" i="1"/>
  <c r="O87" i="1"/>
  <c r="G141" i="1"/>
  <c r="H130" i="1"/>
  <c r="H127" i="1" s="1"/>
  <c r="D130" i="1"/>
  <c r="O123" i="1"/>
  <c r="C144" i="1"/>
  <c r="O144" i="1" s="1"/>
  <c r="O67" i="1"/>
  <c r="O122" i="1"/>
  <c r="C141" i="1" l="1"/>
  <c r="O142" i="1"/>
  <c r="L145" i="1"/>
  <c r="C130" i="1"/>
  <c r="O130" i="1" s="1"/>
  <c r="E124" i="1"/>
  <c r="E128" i="1"/>
  <c r="E127" i="1" s="1"/>
  <c r="E145" i="1" s="1"/>
  <c r="G145" i="1"/>
  <c r="K127" i="1"/>
  <c r="C136" i="1"/>
  <c r="O50" i="1"/>
  <c r="D124" i="1"/>
  <c r="H145" i="1"/>
  <c r="D141" i="1"/>
  <c r="D145" i="1" s="1"/>
  <c r="O11" i="1"/>
  <c r="K145" i="1"/>
  <c r="O124" i="1"/>
  <c r="C131" i="1"/>
  <c r="O36" i="1"/>
  <c r="C127" i="1"/>
  <c r="O127" i="1" s="1"/>
  <c r="O128" i="1"/>
  <c r="C124" i="1"/>
  <c r="C145" i="1" l="1"/>
  <c r="O141" i="1"/>
  <c r="O145" i="1" s="1"/>
</calcChain>
</file>

<file path=xl/sharedStrings.xml><?xml version="1.0" encoding="utf-8"?>
<sst xmlns="http://schemas.openxmlformats.org/spreadsheetml/2006/main" count="291" uniqueCount="268">
  <si>
    <t>MUNICIPIO DE TECALITLAN, JALISCO</t>
  </si>
  <si>
    <t>CONCENTRADO DE INGRESOS 2023</t>
  </si>
  <si>
    <t>CLAVE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</si>
  <si>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</si>
  <si>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</si>
  <si>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</si>
  <si>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</si>
  <si>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</si>
  <si>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</si>
  <si>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</si>
  <si>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</si>
  <si>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</si>
  <si>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</si>
  <si>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</si>
  <si>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</si>
  <si>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</si>
  <si>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</si>
  <si>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4111-100-000</t>
  </si>
  <si>
    <t>Impuestos sobre espectáculos públicos</t>
  </si>
  <si>
    <t>4111-101-000</t>
  </si>
  <si>
    <t>Funciones de circo y espectáculos de carpa</t>
  </si>
  <si>
    <t>4111-104-000</t>
  </si>
  <si>
    <t>Eventos y espectáculos deportivos</t>
  </si>
  <si>
    <t>4111-107-000</t>
  </si>
  <si>
    <t>Otros espectáculos públicos</t>
  </si>
  <si>
    <t>4112-100-000</t>
  </si>
  <si>
    <t>Impuesto predial</t>
  </si>
  <si>
    <t>4112-101-000</t>
  </si>
  <si>
    <t>Predios rústicos</t>
  </si>
  <si>
    <t>4112-102-000</t>
  </si>
  <si>
    <t>Predios urbanos</t>
  </si>
  <si>
    <t>4112-200-000</t>
  </si>
  <si>
    <t>Impuesto sobre transmisiones patrimoniales</t>
  </si>
  <si>
    <t>4112-201-000</t>
  </si>
  <si>
    <t>Adquisición de departamentos, viviendas y casas pa</t>
  </si>
  <si>
    <t>4112-202-000</t>
  </si>
  <si>
    <t>Regularizacion de terrenos</t>
  </si>
  <si>
    <t>4112-300-000</t>
  </si>
  <si>
    <t>Impuestos sobre negocios jurídicos</t>
  </si>
  <si>
    <t>4112-301-000</t>
  </si>
  <si>
    <t>Construcción de inmuebles</t>
  </si>
  <si>
    <t>4117-100-000</t>
  </si>
  <si>
    <t>Recargos</t>
  </si>
  <si>
    <t>4117-101-000</t>
  </si>
  <si>
    <t>Falta de pago</t>
  </si>
  <si>
    <t>4117-300-000</t>
  </si>
  <si>
    <t>Multas</t>
  </si>
  <si>
    <t>4117-301-000</t>
  </si>
  <si>
    <t>Infracciones</t>
  </si>
  <si>
    <t>4117-400-000</t>
  </si>
  <si>
    <t>Gastos de Ejucucion y Embargo</t>
  </si>
  <si>
    <t>4117-401-000</t>
  </si>
  <si>
    <t>Gastos de Notificacion</t>
  </si>
  <si>
    <t>4119-100-000</t>
  </si>
  <si>
    <t>Impuestos extraordinarios</t>
  </si>
  <si>
    <t>4119-101-000</t>
  </si>
  <si>
    <t>4131-100-000</t>
  </si>
  <si>
    <t>Contribuciones de mejoras</t>
  </si>
  <si>
    <t>4131-101-000</t>
  </si>
  <si>
    <t>Contribuciones de mejoras por obras públicas</t>
  </si>
  <si>
    <t>4141-100-000</t>
  </si>
  <si>
    <t>Uso del piso</t>
  </si>
  <si>
    <t>4141-101-000</t>
  </si>
  <si>
    <t>Estacionamientos exclusivos</t>
  </si>
  <si>
    <t>4141-102-000</t>
  </si>
  <si>
    <t>Puestos permanentes y eventuales</t>
  </si>
  <si>
    <t>4141-300-000</t>
  </si>
  <si>
    <t>De los cementerios de dominiio público</t>
  </si>
  <si>
    <t>4141-301-000</t>
  </si>
  <si>
    <t>Lotes uso perpetuidad y temporal</t>
  </si>
  <si>
    <t>4141-303-000</t>
  </si>
  <si>
    <t>Venta de gavetas a perpetuidad</t>
  </si>
  <si>
    <t>4141-400-000</t>
  </si>
  <si>
    <t>Uso, goce, aprovechamiento o exp. de otros bienes</t>
  </si>
  <si>
    <t>4141-401-000</t>
  </si>
  <si>
    <t>Arrendamiento o concesión de locales en mercados</t>
  </si>
  <si>
    <t>4141-403-000</t>
  </si>
  <si>
    <t>Arrendamiento o concesión de escusados y baños</t>
  </si>
  <si>
    <t>4141-409-000</t>
  </si>
  <si>
    <t>Otros arrendamientos o concesiones de bienes</t>
  </si>
  <si>
    <t>4143-010-000</t>
  </si>
  <si>
    <t>Licencias y permisos de giros</t>
  </si>
  <si>
    <t>4143-011-000</t>
  </si>
  <si>
    <t>Giros con venta de bebidas alcohólicas</t>
  </si>
  <si>
    <t>4143-011-100</t>
  </si>
  <si>
    <t>Giros con servicios de bebidas alcohólicas</t>
  </si>
  <si>
    <t>4143-011-200</t>
  </si>
  <si>
    <t>Otros conceptos distintos a los anteriores</t>
  </si>
  <si>
    <t>4143-020-000</t>
  </si>
  <si>
    <t>Licencias y permisos para anuncios</t>
  </si>
  <si>
    <t>4143-022-000</t>
  </si>
  <si>
    <t>Licencias y permisos de anuncios permanentes</t>
  </si>
  <si>
    <t>4143-022-100</t>
  </si>
  <si>
    <t>Licencias y permisos de anuncios eventuales</t>
  </si>
  <si>
    <t>4143-030-000</t>
  </si>
  <si>
    <t>Licencias de construcción, reconstrucción, reparac</t>
  </si>
  <si>
    <t>4143-033-000</t>
  </si>
  <si>
    <t>Licencias de construcción</t>
  </si>
  <si>
    <t>4143-033-100</t>
  </si>
  <si>
    <t>Licencias para demolicion</t>
  </si>
  <si>
    <t>4143-033-600</t>
  </si>
  <si>
    <t>Licencias de sub-divicion de terrenos o propiedades</t>
  </si>
  <si>
    <t>4143-040-000</t>
  </si>
  <si>
    <t>Alineamiento, designación de número oficial e insp</t>
  </si>
  <si>
    <t>4143-044-000</t>
  </si>
  <si>
    <t>Alineamiento</t>
  </si>
  <si>
    <t>4143-044-100</t>
  </si>
  <si>
    <t>Designación de número oficial</t>
  </si>
  <si>
    <t>4143-070-000</t>
  </si>
  <si>
    <t>Servicios de sanidad</t>
  </si>
  <si>
    <t>4143-077-000</t>
  </si>
  <si>
    <t>Inhumaciones y reinhumaciones</t>
  </si>
  <si>
    <t>4143-077-100</t>
  </si>
  <si>
    <t>exhumaciones</t>
  </si>
  <si>
    <t>4143-090-000</t>
  </si>
  <si>
    <t>Agua potable y alcantarillado</t>
  </si>
  <si>
    <t>4143-099-000</t>
  </si>
  <si>
    <t>Servicio doméstico</t>
  </si>
  <si>
    <t>4143-099-400</t>
  </si>
  <si>
    <t>'20% para el saneamiento de las aguas residuales</t>
  </si>
  <si>
    <t>4143-099-500</t>
  </si>
  <si>
    <t>'2% o 3% para la infraestructura básica existente</t>
  </si>
  <si>
    <t>4143-099-700</t>
  </si>
  <si>
    <t>conexión o reconexión al servicio</t>
  </si>
  <si>
    <t>4143-100-000</t>
  </si>
  <si>
    <t>Rastro</t>
  </si>
  <si>
    <t>4143-101-000</t>
  </si>
  <si>
    <t>Autorización de matanza</t>
  </si>
  <si>
    <t>4143-103-000</t>
  </si>
  <si>
    <t>Autorización de la introducción de ganado al rastr</t>
  </si>
  <si>
    <t>4143-105-000</t>
  </si>
  <si>
    <t>Acarreo de carnes en camiones del municipio</t>
  </si>
  <si>
    <t>4143-200-000</t>
  </si>
  <si>
    <t>Registro civil</t>
  </si>
  <si>
    <t>4143-201-000</t>
  </si>
  <si>
    <t xml:space="preserve">Servicios en oficina </t>
  </si>
  <si>
    <t>4143-202-000</t>
  </si>
  <si>
    <t>Servicios a domicilio</t>
  </si>
  <si>
    <t>4143-203-000</t>
  </si>
  <si>
    <t>Anotaciones e inserciones en actas</t>
  </si>
  <si>
    <t>4143-300-000</t>
  </si>
  <si>
    <t>Certificaciones</t>
  </si>
  <si>
    <t>4143-301-000</t>
  </si>
  <si>
    <t>Expedición de certificados, constancias o copias c</t>
  </si>
  <si>
    <t>4143-302-000</t>
  </si>
  <si>
    <t>Extractos de actas</t>
  </si>
  <si>
    <t>4144-000-000</t>
  </si>
  <si>
    <t>Otros derechos</t>
  </si>
  <si>
    <t>4144-109-000</t>
  </si>
  <si>
    <t>Otros servicios no especificados</t>
  </si>
  <si>
    <t>4143-400-000</t>
  </si>
  <si>
    <t>Servicios de catastro</t>
  </si>
  <si>
    <t>4143-402-000</t>
  </si>
  <si>
    <t>Certificaciones catastrales</t>
  </si>
  <si>
    <t>4143-406-000</t>
  </si>
  <si>
    <t>Revisión y autorización de avalúos</t>
  </si>
  <si>
    <t>4145-100-000</t>
  </si>
  <si>
    <t>4145-101-000</t>
  </si>
  <si>
    <t>Falta de pago Tesoreria</t>
  </si>
  <si>
    <t>4145-101-001</t>
  </si>
  <si>
    <t>Falta de pago Agua</t>
  </si>
  <si>
    <t>4145-300-000</t>
  </si>
  <si>
    <t>4145-301-000</t>
  </si>
  <si>
    <t>Infracciones Tesoreria</t>
  </si>
  <si>
    <t>4145-301-001</t>
  </si>
  <si>
    <t>Infracciones Agua</t>
  </si>
  <si>
    <t>4151-900-000</t>
  </si>
  <si>
    <t>Productos diversos</t>
  </si>
  <si>
    <t>4151-909-000</t>
  </si>
  <si>
    <t>Otros productos no especificados</t>
  </si>
  <si>
    <t>4163-300-000</t>
  </si>
  <si>
    <t>4163-301-000</t>
  </si>
  <si>
    <t>4163-900-000</t>
  </si>
  <si>
    <t>Otros aprovechamientos</t>
  </si>
  <si>
    <t>4163-909-000</t>
  </si>
  <si>
    <t>Otros no especificados</t>
  </si>
  <si>
    <t>4211-100-000</t>
  </si>
  <si>
    <t>Participaciones</t>
  </si>
  <si>
    <t>4211-101-000</t>
  </si>
  <si>
    <t>Fondo general de participacion (federal)</t>
  </si>
  <si>
    <t>4211-102-000</t>
  </si>
  <si>
    <t>Fondo de fomento municipal (federal)</t>
  </si>
  <si>
    <t>4211-103-000</t>
  </si>
  <si>
    <t>Fondo de fiscalizacion y recaudacion (federal)</t>
  </si>
  <si>
    <t>4211-104-000</t>
  </si>
  <si>
    <t>Fondo de compensacion (federal)</t>
  </si>
  <si>
    <t>4211-105-000</t>
  </si>
  <si>
    <t>Fondo de extraccion de hidrocarburos (federal)</t>
  </si>
  <si>
    <t>4211-106-000</t>
  </si>
  <si>
    <t>Impuesto especial sobre produccion y servicios (federal)</t>
  </si>
  <si>
    <t>4211-107-000</t>
  </si>
  <si>
    <t>0.136% de la recaudacion federal participable (federal)</t>
  </si>
  <si>
    <t>4211-108-000</t>
  </si>
  <si>
    <t>3.17% sobre extraccion de petroleo (federal)</t>
  </si>
  <si>
    <t>4211-109-000</t>
  </si>
  <si>
    <t>Gasolinas y diesel (federal)</t>
  </si>
  <si>
    <t>4211-110-000</t>
  </si>
  <si>
    <t>Fondo de impuesto sobre la renta (federal)</t>
  </si>
  <si>
    <t>4211-111-000</t>
  </si>
  <si>
    <t>Fondo de estabilizacion ingresos de las entidades federativas (federal)</t>
  </si>
  <si>
    <t>4211-112-000</t>
  </si>
  <si>
    <t>Participaciones del estado</t>
  </si>
  <si>
    <t>4212-100-000</t>
  </si>
  <si>
    <t>Aportaciones federales</t>
  </si>
  <si>
    <t>4212-101-000</t>
  </si>
  <si>
    <t>Del fondo de infraestructura social municipal</t>
  </si>
  <si>
    <t>4212-102-000</t>
  </si>
  <si>
    <t>Del fondo para el fortalecimiento municipal</t>
  </si>
  <si>
    <t>4213-100-000</t>
  </si>
  <si>
    <t>Convenios</t>
  </si>
  <si>
    <t>4213-101-000</t>
  </si>
  <si>
    <t>Convenios de proteccion social en salud</t>
  </si>
  <si>
    <t>4213-102-000</t>
  </si>
  <si>
    <t>Convenios de descentralizados</t>
  </si>
  <si>
    <t>4213-103-000</t>
  </si>
  <si>
    <t>Convenios de reasignacion</t>
  </si>
  <si>
    <t>4213-104-000</t>
  </si>
  <si>
    <t>Otros convenios y subsidios (con ingresos de libre disposicion)</t>
  </si>
  <si>
    <t>4213-105-000</t>
  </si>
  <si>
    <t>Otros convenios y subsidios (con ingresos etiquetados federales)</t>
  </si>
  <si>
    <t>4213-106-000</t>
  </si>
  <si>
    <t>Otros convenios y subsidios (con ingresos etiquetados estatales)</t>
  </si>
  <si>
    <t>4214-000-000</t>
  </si>
  <si>
    <t>Incentivos derivados de la colaboracion fiscal</t>
  </si>
  <si>
    <t>4214-100-000</t>
  </si>
  <si>
    <t>4214-101-000</t>
  </si>
  <si>
    <t>Tenencia o uso de vehiculos</t>
  </si>
  <si>
    <t>4214-102-000</t>
  </si>
  <si>
    <t>Fondo de conpensacion ISAN</t>
  </si>
  <si>
    <t>4214-103-000</t>
  </si>
  <si>
    <t>Impuesto sobre automoviles nuevos</t>
  </si>
  <si>
    <t>4214-104-000</t>
  </si>
  <si>
    <t>Fondo de compensacion de repecos-intermedios</t>
  </si>
  <si>
    <t>4214-105-000</t>
  </si>
  <si>
    <t>Otros incentivos economicos</t>
  </si>
  <si>
    <t>4215-000-000</t>
  </si>
  <si>
    <t>Fondos distintos de aportaciones</t>
  </si>
  <si>
    <t>4215-100-000</t>
  </si>
  <si>
    <t>4215-101-000</t>
  </si>
  <si>
    <t>Fondo para entidades federativas y municipios productores de hidrocarburos</t>
  </si>
  <si>
    <t>4215-102-000</t>
  </si>
  <si>
    <t>Fondo minero</t>
  </si>
  <si>
    <t>4223-100-000</t>
  </si>
  <si>
    <t>Subsidio</t>
  </si>
  <si>
    <t>4223-101-000</t>
  </si>
  <si>
    <t>4310-100-000</t>
  </si>
  <si>
    <t>Ingresos financieros</t>
  </si>
  <si>
    <t>4310-101-000</t>
  </si>
  <si>
    <t>TOTAL</t>
  </si>
  <si>
    <t>CLASIFICADOR DE INGRESOS</t>
  </si>
  <si>
    <t>INGRESOS PROPIOS</t>
  </si>
  <si>
    <t>CATASTRO</t>
  </si>
  <si>
    <t>AGUA POTABLE Y ALCANTARILLADO</t>
  </si>
  <si>
    <t>TESORERIA</t>
  </si>
  <si>
    <t>Obras Publicas</t>
  </si>
  <si>
    <t>Piso y Plaza</t>
  </si>
  <si>
    <t>Cementerios</t>
  </si>
  <si>
    <t>Padron y Licencias</t>
  </si>
  <si>
    <t>Rastro Mpal.</t>
  </si>
  <si>
    <t>Registro Civil</t>
  </si>
  <si>
    <t>Secretaria (certificaciones y expedicion de constancias)</t>
  </si>
  <si>
    <t>Aprovechamientos (multas y recargos)</t>
  </si>
  <si>
    <t>Productos Diversos</t>
  </si>
  <si>
    <t>Ingresos Financieros</t>
  </si>
  <si>
    <t>INGRESOS FEDERALES Y ESTATALES</t>
  </si>
  <si>
    <t>PARTICIPACIONES</t>
  </si>
  <si>
    <t>APORTACIONES</t>
  </si>
  <si>
    <t>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</si>
</sst>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left" vertical="top"/>
    </xf>
    <xf numFmtId="49" fontId="5" fillId="3" borderId="3" xfId="0" applyNumberFormat="1" applyFont="1" applyFill="1" applyBorder="1" applyAlignment="1">
      <alignment horizontal="left" vertical="top"/>
    </xf>
    <xf numFmtId="164" fontId="2" fillId="3" borderId="0" xfId="0" applyNumberFormat="1" applyFont="1" applyFill="1" applyAlignment="1">
      <alignment horizontal="center"/>
    </xf>
    <xf numFmtId="164" fontId="2" fillId="4" borderId="0" xfId="0" applyNumberFormat="1" applyFont="1" applyFill="1"/>
    <xf numFmtId="49" fontId="6" fillId="5" borderId="4" xfId="0" applyNumberFormat="1" applyFont="1" applyFill="1" applyBorder="1" applyAlignment="1">
      <alignment horizontal="left" vertical="top"/>
    </xf>
    <xf numFmtId="49" fontId="6" fillId="5" borderId="5" xfId="0" applyNumberFormat="1" applyFont="1" applyFill="1" applyBorder="1" applyAlignment="1">
      <alignment horizontal="left" vertical="top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49" fontId="5" fillId="3" borderId="4" xfId="0" applyNumberFormat="1" applyFont="1" applyFill="1" applyBorder="1" applyAlignment="1">
      <alignment horizontal="left" vertical="top"/>
    </xf>
    <xf numFmtId="49" fontId="5" fillId="3" borderId="5" xfId="0" applyNumberFormat="1" applyFont="1" applyFill="1" applyBorder="1" applyAlignment="1">
      <alignment horizontal="left" vertical="top"/>
    </xf>
    <xf numFmtId="49" fontId="6" fillId="3" borderId="4" xfId="0" applyNumberFormat="1" applyFont="1" applyFill="1" applyBorder="1" applyAlignment="1">
      <alignment horizontal="left" vertical="top"/>
    </xf>
    <xf numFmtId="49" fontId="7" fillId="5" borderId="4" xfId="0" applyNumberFormat="1" applyFont="1" applyFill="1" applyBorder="1" applyAlignment="1">
      <alignment horizontal="left" vertical="top"/>
    </xf>
    <xf numFmtId="49" fontId="7" fillId="5" borderId="5" xfId="0" applyNumberFormat="1" applyFont="1" applyFill="1" applyBorder="1" applyAlignment="1">
      <alignment horizontal="left" vertical="top"/>
    </xf>
    <xf numFmtId="49" fontId="8" fillId="3" borderId="4" xfId="0" applyNumberFormat="1" applyFont="1" applyFill="1" applyBorder="1" applyAlignment="1">
      <alignment horizontal="left" vertical="top"/>
    </xf>
    <xf numFmtId="49" fontId="8" fillId="3" borderId="5" xfId="0" applyNumberFormat="1" applyFont="1" applyFill="1" applyBorder="1" applyAlignment="1">
      <alignment horizontal="left" vertical="top"/>
    </xf>
    <xf numFmtId="49" fontId="6" fillId="0" borderId="6" xfId="0" applyNumberFormat="1" applyFont="1" applyBorder="1" applyAlignment="1">
      <alignment horizontal="left" vertical="top"/>
    </xf>
    <xf numFmtId="49" fontId="6" fillId="0" borderId="7" xfId="0" applyNumberFormat="1" applyFont="1" applyBorder="1" applyAlignment="1">
      <alignment horizontal="left" vertical="top"/>
    </xf>
    <xf numFmtId="49" fontId="6" fillId="0" borderId="0" xfId="1" applyNumberFormat="1" applyFont="1" applyAlignment="1">
      <alignment horizontal="left" vertical="top"/>
    </xf>
    <xf numFmtId="49" fontId="6" fillId="0" borderId="8" xfId="1" applyNumberFormat="1" applyFont="1" applyBorder="1" applyAlignment="1">
      <alignment horizontal="left" vertical="top"/>
    </xf>
    <xf numFmtId="49" fontId="6" fillId="0" borderId="9" xfId="1" applyNumberFormat="1" applyFont="1" applyBorder="1" applyAlignment="1">
      <alignment horizontal="left" vertical="top"/>
    </xf>
    <xf numFmtId="49" fontId="5" fillId="3" borderId="10" xfId="0" applyNumberFormat="1" applyFont="1" applyFill="1" applyBorder="1" applyAlignment="1">
      <alignment horizontal="left" vertical="top"/>
    </xf>
    <xf numFmtId="49" fontId="5" fillId="3" borderId="7" xfId="0" applyNumberFormat="1" applyFont="1" applyFill="1" applyBorder="1" applyAlignment="1">
      <alignment horizontal="left" vertical="top"/>
    </xf>
    <xf numFmtId="164" fontId="2" fillId="6" borderId="13" xfId="0" applyNumberFormat="1" applyFont="1" applyFill="1" applyBorder="1" applyAlignment="1">
      <alignment horizontal="center"/>
    </xf>
    <xf numFmtId="164" fontId="12" fillId="7" borderId="13" xfId="0" applyNumberFormat="1" applyFont="1" applyFill="1" applyBorder="1"/>
    <xf numFmtId="0" fontId="0" fillId="0" borderId="14" xfId="0" applyBorder="1"/>
    <xf numFmtId="0" fontId="12" fillId="8" borderId="15" xfId="0" applyFont="1" applyFill="1" applyBorder="1"/>
    <xf numFmtId="0" fontId="11" fillId="8" borderId="15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164" fontId="1" fillId="9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8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43" fontId="0" fillId="0" borderId="0" xfId="0" applyNumberFormat="1"/>
    <xf numFmtId="164" fontId="3" fillId="9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2" fillId="8" borderId="0" xfId="0" applyFont="1" applyFill="1" applyAlignment="1">
      <alignment horizontal="right"/>
    </xf>
    <xf numFmtId="164" fontId="11" fillId="8" borderId="0" xfId="0" applyNumberFormat="1" applyFont="1" applyFill="1" applyAlignment="1">
      <alignment horizontal="center"/>
    </xf>
    <xf numFmtId="164" fontId="13" fillId="9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49" fontId="10" fillId="5" borderId="11" xfId="0" applyNumberFormat="1" applyFont="1" applyFill="1" applyBorder="1" applyAlignment="1">
      <alignment horizontal="right" vertical="top" wrapText="1"/>
    </xf>
    <xf numFmtId="0" fontId="11" fillId="0" borderId="12" xfId="0" applyFont="1" applyBorder="1" applyAlignment="1">
      <alignment wrapText="1"/>
    </xf>
  </cellXfs>
  <cellStyles count="2">
    <cellStyle name="Normal" xfId="0" builtinId="0"/>
    <cellStyle name="Normal 2" xfId="1" xr:uid="{961D7FD9-EF36-4F27-8C5D-CDADA88339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CONCENTRADO DE INGRESOS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'Concentrado Ingresos 2023'!$B$127</c:f>
              <c:strCache>
                <c:ptCount val="1"/>
                <c:pt idx="0">
                  <c:v>INGRESOS PROPIOS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'Concentrado Ingresos 2023'!$C$126:$N$126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'Concentrado Ingresos 2023'!$C$127:$N$127</c:f>
              <c:numCache>
                <c:formatCode>"$"#,##0.00</c:formatCode>
                <c:ptCount val="5"/>
                <c:pt idx="0">
                  <c:v>8226699.1100000003</c:v>
                </c:pt>
                <c:pt idx="1">
                  <c:v>3328101.9899999998</c:v>
                </c:pt>
                <c:pt idx="2">
                  <c:v>1728227.6600000001</c:v>
                </c:pt>
                <c:pt idx="3">
                  <c:v>1094128.94</c:v>
                </c:pt>
                <c:pt idx="4">
                  <c:v>714023.94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F4-45B0-8704-FE0A6353E0FC}"/>
            </c:ext>
          </c:extLst>
        </c:ser>
        <c:ser>
          <c:idx val="1"/>
          <c:order val="1"/>
          <c:tx>
            <c:strRef>
              <c:f>'Concentrado Ingresos 2023'!$B$141</c:f>
              <c:strCache>
                <c:ptCount val="1"/>
                <c:pt idx="0">
                  <c:v>INGRESOS FEDERALES Y ESTATALES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'Concentrado Ingresos 2023'!$C$126:$N$126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'Concentrado Ingresos 2023'!$C$141:$N$141</c:f>
              <c:numCache>
                <c:formatCode>"$"#,##0.00</c:formatCode>
                <c:ptCount val="5"/>
                <c:pt idx="0">
                  <c:v>10515578.270000001</c:v>
                </c:pt>
                <c:pt idx="1">
                  <c:v>9877514.5800000001</c:v>
                </c:pt>
                <c:pt idx="2">
                  <c:v>12462251.689999999</c:v>
                </c:pt>
                <c:pt idx="3">
                  <c:v>9067246.6600000001</c:v>
                </c:pt>
                <c:pt idx="4">
                  <c:v>11202039.880000001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F4-45B0-8704-FE0A6353E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376784704"/>
        <c:axId val="376784376"/>
        <c:axId val="0"/>
      </c:bar3DChart>
      <c:catAx>
        <c:axId val="37678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6784376"/>
        <c:crosses val="autoZero"/>
        <c:auto val="1"/>
        <c:lblAlgn val="ctr"/>
        <c:lblOffset val="100"/>
        <c:noMultiLvlLbl val="0"/>
      </c:catAx>
      <c:valAx>
        <c:axId val="37678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678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2201332</xdr:colOff>
      <xdr:row>147</xdr:row>
      <xdr:rowOff>99482</xdr:rowOff>
    </xdr:from>
    <xdr:to>
      <xdr:col>11</xdr:col>
      <xdr:colOff>243416</xdr:colOff>
      <xdr:row>169</xdr:row>
      <xdr:rowOff>127000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DE98015-210A-429C-A44E-ADED4C4AF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39EE2-80D2-4D10-8E99-12CF7D66282B}">
  <sheetPr>
    <pageSetUpPr fitToPage="1"/>
  </sheetPr>
  <dimension ref="A1:O152"/>
  <sheetViews>
    <sheetView tabSelected="1" topLeftCell="A97" zoomScale="80" zoomScaleNormal="80" workbookViewId="0">
      <selection activeCell="S11" sqref="S11"/>
    </sheetView>
  </sheetViews>
  <sheetFormatPr baseColWidth="10" defaultRowHeight="15" x14ac:dyDescent="0.25"/>
  <cols>
    <col min="1" max="1" width="13.140625" style="26" customWidth="1"/>
    <col min="2" max="2" width="59.42578125" customWidth="1"/>
    <col min="3" max="5" width="16.5703125" customWidth="1"/>
    <col min="6" max="6" width="16.7109375" customWidth="1"/>
    <col min="7" max="7" width="16.5703125" customWidth="1"/>
    <col min="8" max="9" width="15.28515625" hidden="1" customWidth="1"/>
    <col min="10" max="10" width="16.5703125" hidden="1" customWidth="1"/>
    <col min="11" max="11" width="15" hidden="1" customWidth="1"/>
    <col min="12" max="12" width="16.42578125" hidden="1" customWidth="1"/>
    <col min="13" max="13" width="15" hidden="1" customWidth="1"/>
    <col min="14" max="14" width="17" hidden="1" customWidth="1"/>
    <col min="15" max="15" width="23.5703125" customWidth="1"/>
  </cols>
  <sheetData>
    <row r="1" spans="1:15" ht="23.25" customHeight="1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 ht="19.5" x14ac:dyDescent="0.3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</row>
    <row r="4" spans="1:15" ht="17.100000000000001" customHeight="1" x14ac:dyDescent="0.25">
      <c r="A4" s="2" t="s">
        <v>17</v>
      </c>
      <c r="B4" s="3" t="s">
        <v>18</v>
      </c>
      <c r="C4" s="4">
        <f>SUM(C5:C7)</f>
        <v>0</v>
      </c>
      <c r="D4" s="4">
        <f t="shared" ref="D4:N4" si="0">SUM(D5:D7)</f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0</v>
      </c>
      <c r="N4" s="4">
        <f t="shared" si="0"/>
        <v>0</v>
      </c>
      <c r="O4" s="5">
        <f>SUM(C4:N4)</f>
        <v>0</v>
      </c>
    </row>
    <row r="5" spans="1:15" ht="17.100000000000001" customHeight="1" x14ac:dyDescent="0.25">
      <c r="A5" s="6" t="s">
        <v>19</v>
      </c>
      <c r="B5" s="7" t="s">
        <v>20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>
        <f t="shared" ref="O5:O72" si="1">SUM(C5:N5)</f>
        <v>0</v>
      </c>
    </row>
    <row r="6" spans="1:15" ht="17.100000000000001" customHeight="1" x14ac:dyDescent="0.25">
      <c r="A6" s="6" t="s">
        <v>21</v>
      </c>
      <c r="B6" s="7" t="s">
        <v>22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>
        <f t="shared" si="1"/>
        <v>0</v>
      </c>
    </row>
    <row r="7" spans="1:15" ht="17.100000000000001" customHeight="1" x14ac:dyDescent="0.25">
      <c r="A7" s="6" t="s">
        <v>23</v>
      </c>
      <c r="B7" s="7" t="s">
        <v>24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>
        <f t="shared" si="1"/>
        <v>0</v>
      </c>
    </row>
    <row r="8" spans="1:15" ht="17.100000000000001" customHeight="1" x14ac:dyDescent="0.25">
      <c r="A8" s="10" t="s">
        <v>25</v>
      </c>
      <c r="B8" s="11" t="s">
        <v>26</v>
      </c>
      <c r="C8" s="4">
        <f>SUM(C9:C10)</f>
        <v>3954829.13</v>
      </c>
      <c r="D8" s="4">
        <f t="shared" ref="D8:M8" si="2">SUM(D9:D10)</f>
        <v>1230901.94</v>
      </c>
      <c r="E8" s="4">
        <f>SUM(E9:E10)</f>
        <v>549108.93000000005</v>
      </c>
      <c r="F8" s="4">
        <f>SUM(F9:F10)</f>
        <v>116937.48000000001</v>
      </c>
      <c r="G8" s="4">
        <f t="shared" si="2"/>
        <v>175663.97999999998</v>
      </c>
      <c r="H8" s="4">
        <f t="shared" si="2"/>
        <v>0</v>
      </c>
      <c r="I8" s="4">
        <f t="shared" si="2"/>
        <v>0</v>
      </c>
      <c r="J8" s="4">
        <f>SUM(J9:J10)</f>
        <v>0</v>
      </c>
      <c r="K8" s="4">
        <f>SUM(K9:K10)</f>
        <v>0</v>
      </c>
      <c r="L8" s="4">
        <f t="shared" si="2"/>
        <v>0</v>
      </c>
      <c r="M8" s="4">
        <f t="shared" si="2"/>
        <v>0</v>
      </c>
      <c r="N8" s="4">
        <f>SUM(N9:N10)</f>
        <v>0</v>
      </c>
      <c r="O8" s="5">
        <f t="shared" si="1"/>
        <v>6027441.4600000009</v>
      </c>
    </row>
    <row r="9" spans="1:15" ht="17.100000000000001" customHeight="1" x14ac:dyDescent="0.25">
      <c r="A9" s="6" t="s">
        <v>27</v>
      </c>
      <c r="B9" s="7" t="s">
        <v>28</v>
      </c>
      <c r="C9" s="8">
        <f>14668.95+25382.08+9455.41+5810.61+37552.31+50897.27+9800.39+4309.4+35676.5+23496.9+33588.99+34488.81+44351.81+40419.25+64406.96+41880.85+1299114.52+9998.14+23544.41+65060.57+53043.34</f>
        <v>1926947.47</v>
      </c>
      <c r="D9" s="8">
        <f>11716.44+18253.51+21461.45+50590.78+32241.25+6710.18+14394.29+31368.38+18857.34+19117.86+14487.74+3959.14+34858.94+5885.28+11538.57+11469.57+5870.7+16096.16+32447.37</f>
        <v>361324.95</v>
      </c>
      <c r="E9" s="8">
        <f>4887.37+9692.75+4166.19+502.5+3545.19+14077.97+3494.32+4794.72+12649.48+15103.43+34961.94+502.5+1718.54+8172.4+113195.64+10683.36+5190.29</f>
        <v>247338.59</v>
      </c>
      <c r="F9" s="8">
        <f>2152.24+2882.34+8689.1+6177.96+8509.52+922.5+3199.19+1269.18+502.5+1007.81+3686.25</f>
        <v>38998.589999999997</v>
      </c>
      <c r="G9" s="8">
        <f>9516.99+1722.35+3737.23+525+43069.03+1933.4+4164.09+2773.12+695.87+4043.55+2724.19+1453.48</f>
        <v>76358.299999999988</v>
      </c>
      <c r="H9" s="8"/>
      <c r="I9" s="8"/>
      <c r="J9" s="8"/>
      <c r="K9" s="8"/>
      <c r="L9" s="8"/>
      <c r="M9" s="8"/>
      <c r="N9" s="8"/>
      <c r="O9" s="9">
        <f t="shared" si="1"/>
        <v>2650967.8999999994</v>
      </c>
    </row>
    <row r="10" spans="1:15" ht="17.100000000000001" customHeight="1" x14ac:dyDescent="0.25">
      <c r="A10" s="6" t="s">
        <v>29</v>
      </c>
      <c r="B10" s="7" t="s">
        <v>30</v>
      </c>
      <c r="C10" s="8">
        <f>47865.35+182023.75+102732.46+80624.41+86025.2+112436.78+49948.76+35078.3+133375.13+115134.83+107783.1+104407.14+108736.7+72273.7+95739.51+137116.94+102830.51+92035.9+80211.68+83229.3+98272.21</f>
        <v>2027881.6599999997</v>
      </c>
      <c r="D10" s="8">
        <f>66702.91+47875.2+29744.98+49356.37+68138.17+58157.61+38595.37+31821.79+49647.09+34513.73+46625.65+24544.3+40681.29+45082.32+32153.84+49148.58+11117.49+30536.91+115133.39</f>
        <v>869576.99</v>
      </c>
      <c r="E10" s="8">
        <f>22039.94+15668.65+12098.25+9290.41+8563.39+8788.03+8180.68+19562.05+9946.5+11988.33+19561.11+29017.61+12438.24+17220.66+19832.58+8304.75+5905.92+16327.23+9757.78+2447.58+21259.81+13570.84</f>
        <v>301770.34000000008</v>
      </c>
      <c r="F10" s="8">
        <f>11276.31+4141.7+5535.77+3867.36+4417.01+4725.18+4344.43+3886.71+4436.88+4706.42+2899.8+2042.87+2939.01+5483.61+4605.03+4035.73+4595.07</f>
        <v>77938.890000000014</v>
      </c>
      <c r="G10" s="8">
        <f>4617.66+7005.84+4899.6+1466.67+13582.17+15935.91+13714.53+3644.3+4603.83+2213.67+1242.75+12358.82+3206.55+3901.47+3874.62+3037.29</f>
        <v>99305.68</v>
      </c>
      <c r="H10" s="8"/>
      <c r="I10" s="8"/>
      <c r="J10" s="8"/>
      <c r="K10" s="8"/>
      <c r="L10" s="8"/>
      <c r="M10" s="8"/>
      <c r="N10" s="8"/>
      <c r="O10" s="9">
        <f t="shared" si="1"/>
        <v>3376473.5599999996</v>
      </c>
    </row>
    <row r="11" spans="1:15" ht="17.100000000000001" customHeight="1" x14ac:dyDescent="0.25">
      <c r="A11" s="10" t="s">
        <v>31</v>
      </c>
      <c r="B11" s="11" t="s">
        <v>32</v>
      </c>
      <c r="C11" s="4">
        <f>C12+C13</f>
        <v>238585.05000000002</v>
      </c>
      <c r="D11" s="4">
        <f t="shared" ref="D11:N11" si="3">D12+D13</f>
        <v>345752.22000000003</v>
      </c>
      <c r="E11" s="4">
        <f>E12+E13</f>
        <v>185622.17</v>
      </c>
      <c r="F11" s="4">
        <f>F12+F13</f>
        <v>538862.67000000004</v>
      </c>
      <c r="G11" s="4">
        <f t="shared" si="3"/>
        <v>243918.23</v>
      </c>
      <c r="H11" s="4">
        <f t="shared" si="3"/>
        <v>0</v>
      </c>
      <c r="I11" s="4">
        <f t="shared" si="3"/>
        <v>0</v>
      </c>
      <c r="J11" s="4">
        <f t="shared" si="3"/>
        <v>0</v>
      </c>
      <c r="K11" s="4">
        <f t="shared" si="3"/>
        <v>0</v>
      </c>
      <c r="L11" s="4">
        <f t="shared" si="3"/>
        <v>0</v>
      </c>
      <c r="M11" s="4">
        <f t="shared" si="3"/>
        <v>0</v>
      </c>
      <c r="N11" s="4">
        <f t="shared" si="3"/>
        <v>0</v>
      </c>
      <c r="O11" s="5">
        <f>SUM(C11:N11)</f>
        <v>1552740.34</v>
      </c>
    </row>
    <row r="12" spans="1:15" ht="17.100000000000001" customHeight="1" x14ac:dyDescent="0.25">
      <c r="A12" s="6" t="s">
        <v>33</v>
      </c>
      <c r="B12" s="7" t="s">
        <v>34</v>
      </c>
      <c r="C12" s="8">
        <f>29398.56+953+4799+4753+40660.16+28391.13+17984.68+9199.16+1092+100601.21+753.15</f>
        <v>238585.05000000002</v>
      </c>
      <c r="D12" s="8">
        <f>664.05+31931.93+1080+131313.42+23934.43+4276.2+152552.19</f>
        <v>345752.22000000003</v>
      </c>
      <c r="E12" s="8">
        <f>480+33690.32+6204.78+26274.62+61724.16+10460.47+46787.82</f>
        <v>185622.17</v>
      </c>
      <c r="F12" s="8">
        <f>1666.38+6247+102+22427.25+338039.99+1971+18623.02+5742.93+143941.1+102</f>
        <v>538862.67000000004</v>
      </c>
      <c r="G12" s="8">
        <f>99670+25703.1+2395+2245.46+15003.01+2224+9945.15+3460.97+80851.56+2419.98</f>
        <v>243918.23</v>
      </c>
      <c r="H12" s="8"/>
      <c r="I12" s="8"/>
      <c r="J12" s="8"/>
      <c r="K12" s="8"/>
      <c r="L12" s="8"/>
      <c r="M12" s="8"/>
      <c r="N12" s="8"/>
      <c r="O12" s="9">
        <f>SUM(C12:N12)</f>
        <v>1552740.34</v>
      </c>
    </row>
    <row r="13" spans="1:15" ht="17.100000000000001" customHeight="1" x14ac:dyDescent="0.25">
      <c r="A13" s="6" t="s">
        <v>35</v>
      </c>
      <c r="B13" s="7" t="s">
        <v>36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>
        <f>SUM(C13:N13)</f>
        <v>0</v>
      </c>
    </row>
    <row r="14" spans="1:15" ht="17.100000000000001" customHeight="1" x14ac:dyDescent="0.25">
      <c r="A14" s="10" t="s">
        <v>37</v>
      </c>
      <c r="B14" s="11" t="s">
        <v>38</v>
      </c>
      <c r="C14" s="4">
        <f>C15</f>
        <v>23.770000000000003</v>
      </c>
      <c r="D14" s="4">
        <f t="shared" ref="D14:M14" si="4">D15</f>
        <v>905.94000000000017</v>
      </c>
      <c r="E14" s="4">
        <f t="shared" si="4"/>
        <v>48.18</v>
      </c>
      <c r="F14" s="4">
        <f>F15</f>
        <v>89.899999999999991</v>
      </c>
      <c r="G14" s="4">
        <f>G15</f>
        <v>20.459999999999997</v>
      </c>
      <c r="H14" s="4">
        <f t="shared" si="4"/>
        <v>0</v>
      </c>
      <c r="I14" s="4">
        <f t="shared" si="4"/>
        <v>0</v>
      </c>
      <c r="J14" s="4">
        <f>J15</f>
        <v>0</v>
      </c>
      <c r="K14" s="4">
        <f>K15</f>
        <v>0</v>
      </c>
      <c r="L14" s="4">
        <f t="shared" si="4"/>
        <v>0</v>
      </c>
      <c r="M14" s="4">
        <f t="shared" si="4"/>
        <v>0</v>
      </c>
      <c r="N14" s="4">
        <f>N15</f>
        <v>0</v>
      </c>
      <c r="O14" s="5">
        <f t="shared" si="1"/>
        <v>1088.2500000000002</v>
      </c>
    </row>
    <row r="15" spans="1:15" ht="17.100000000000001" customHeight="1" x14ac:dyDescent="0.25">
      <c r="A15" s="6" t="s">
        <v>39</v>
      </c>
      <c r="B15" s="7" t="s">
        <v>40</v>
      </c>
      <c r="C15" s="8">
        <f>3.49+0.64+3.34+4.07+1.29+1.56+0.39+6.75+2.24</f>
        <v>23.770000000000003</v>
      </c>
      <c r="D15" s="8">
        <f>2.74+7.22+828.18+1.36+1.03+3.23+1.48+10.49+41.33+8.19+0.69</f>
        <v>905.94000000000017</v>
      </c>
      <c r="E15" s="8">
        <f>15.75+0.11+2.65+6.69+22.98</f>
        <v>48.18</v>
      </c>
      <c r="F15" s="8">
        <f>4.2+27.53+41.76+0.23+1.08+3.74+1.99+5.45+3.92</f>
        <v>89.899999999999991</v>
      </c>
      <c r="G15" s="8">
        <f>14.43+0.23+4.1+1.7</f>
        <v>20.459999999999997</v>
      </c>
      <c r="H15" s="8"/>
      <c r="I15" s="8"/>
      <c r="J15" s="8"/>
      <c r="K15" s="8"/>
      <c r="L15" s="8"/>
      <c r="M15" s="8"/>
      <c r="N15" s="8"/>
      <c r="O15" s="9">
        <f t="shared" si="1"/>
        <v>1088.2500000000002</v>
      </c>
    </row>
    <row r="16" spans="1:15" ht="17.100000000000001" customHeight="1" x14ac:dyDescent="0.25">
      <c r="A16" s="10" t="s">
        <v>41</v>
      </c>
      <c r="B16" s="11" t="s">
        <v>42</v>
      </c>
      <c r="C16" s="4">
        <f>C17</f>
        <v>14669.869999999999</v>
      </c>
      <c r="D16" s="4">
        <f t="shared" ref="D16:M16" si="5">D17</f>
        <v>10546.44</v>
      </c>
      <c r="E16" s="4">
        <f t="shared" si="5"/>
        <v>9796.42</v>
      </c>
      <c r="F16" s="4">
        <f>F17</f>
        <v>2658.7199999999993</v>
      </c>
      <c r="G16" s="4">
        <f>G17</f>
        <v>8051.7999999999993</v>
      </c>
      <c r="H16" s="4">
        <f t="shared" si="5"/>
        <v>0</v>
      </c>
      <c r="I16" s="4">
        <f t="shared" si="5"/>
        <v>0</v>
      </c>
      <c r="J16" s="4">
        <f>J17</f>
        <v>0</v>
      </c>
      <c r="K16" s="4">
        <f>K17</f>
        <v>0</v>
      </c>
      <c r="L16" s="4">
        <f t="shared" si="5"/>
        <v>0</v>
      </c>
      <c r="M16" s="4">
        <f t="shared" si="5"/>
        <v>0</v>
      </c>
      <c r="N16" s="4">
        <f>N17</f>
        <v>0</v>
      </c>
      <c r="O16" s="5">
        <f t="shared" si="1"/>
        <v>45723.25</v>
      </c>
    </row>
    <row r="17" spans="1:15" ht="17.100000000000001" customHeight="1" x14ac:dyDescent="0.25">
      <c r="A17" s="6" t="s">
        <v>43</v>
      </c>
      <c r="B17" s="7" t="s">
        <v>44</v>
      </c>
      <c r="C17" s="8">
        <f>362.33+113.47+1352.57+654.08+398.34+293.68+363.84+797.49+32.22+849.99+374.15+887.08+458.23+1007.54+325.85+838.73+2133.43+3426.85</f>
        <v>14669.869999999999</v>
      </c>
      <c r="D17" s="8">
        <f>657.59+334.82+1136.27+1681.44+844.14+135.48+27.89+55.67+49.05+92.46+48.42+423.29+277.13+1.12+1137.15+29.27+1139.64+2475.61</f>
        <v>10546.44</v>
      </c>
      <c r="E17" s="8">
        <f>148.86+215.61+280.16+5.61+114.74+0.48+149.88+248.91+197.2+562.14+236.27+146.48+89.06+311.82+247.35+42.92+1608.64+4254.7+935.59</f>
        <v>9796.42</v>
      </c>
      <c r="F17" s="8">
        <f>691.93+95.07+147.3+92.46+32.25+183.6+39.6+396.29+132+39.6+204.15+187.51+416.96</f>
        <v>2658.7199999999993</v>
      </c>
      <c r="G17" s="8">
        <f>161.06+229.5+198.33+21.44+804.05+1748.38+1077.25+139.73+74.69+63.47+43.13+2549.54+238.83+88.4+310.29+303.71</f>
        <v>8051.7999999999993</v>
      </c>
      <c r="H17" s="8"/>
      <c r="I17" s="8"/>
      <c r="J17" s="8"/>
      <c r="K17" s="8"/>
      <c r="L17" s="8"/>
      <c r="M17" s="8"/>
      <c r="N17" s="8"/>
      <c r="O17" s="9">
        <f t="shared" si="1"/>
        <v>45723.25</v>
      </c>
    </row>
    <row r="18" spans="1:15" ht="17.100000000000001" customHeight="1" x14ac:dyDescent="0.25">
      <c r="A18" s="10" t="s">
        <v>45</v>
      </c>
      <c r="B18" s="11" t="s">
        <v>46</v>
      </c>
      <c r="C18" s="4">
        <f>C19</f>
        <v>0</v>
      </c>
      <c r="D18" s="4">
        <f t="shared" ref="D18:M18" si="6">D19</f>
        <v>0</v>
      </c>
      <c r="E18" s="4">
        <f t="shared" si="6"/>
        <v>3990</v>
      </c>
      <c r="F18" s="4">
        <f>F19</f>
        <v>0</v>
      </c>
      <c r="G18" s="4">
        <f t="shared" si="6"/>
        <v>0</v>
      </c>
      <c r="H18" s="4">
        <f t="shared" si="6"/>
        <v>0</v>
      </c>
      <c r="I18" s="4">
        <f t="shared" si="6"/>
        <v>0</v>
      </c>
      <c r="J18" s="4">
        <f t="shared" si="6"/>
        <v>0</v>
      </c>
      <c r="K18" s="4">
        <f t="shared" si="6"/>
        <v>0</v>
      </c>
      <c r="L18" s="4">
        <f t="shared" si="6"/>
        <v>0</v>
      </c>
      <c r="M18" s="4">
        <f t="shared" si="6"/>
        <v>0</v>
      </c>
      <c r="N18" s="4">
        <f>N19</f>
        <v>0</v>
      </c>
      <c r="O18" s="5">
        <f>SUM(C18:N18)</f>
        <v>3990</v>
      </c>
    </row>
    <row r="19" spans="1:15" ht="17.100000000000001" customHeight="1" x14ac:dyDescent="0.25">
      <c r="A19" s="6" t="s">
        <v>47</v>
      </c>
      <c r="B19" s="7" t="s">
        <v>48</v>
      </c>
      <c r="C19" s="8"/>
      <c r="D19" s="8"/>
      <c r="E19" s="8">
        <f>3690+300</f>
        <v>3990</v>
      </c>
      <c r="F19" s="8"/>
      <c r="G19" s="8"/>
      <c r="H19" s="8"/>
      <c r="I19" s="8"/>
      <c r="J19" s="8"/>
      <c r="K19" s="8"/>
      <c r="L19" s="8"/>
      <c r="M19" s="8"/>
      <c r="N19" s="8"/>
      <c r="O19" s="9">
        <f>SUM(C19:N19)</f>
        <v>3990</v>
      </c>
    </row>
    <row r="20" spans="1:15" ht="17.100000000000001" customHeight="1" x14ac:dyDescent="0.25">
      <c r="A20" s="12" t="s">
        <v>49</v>
      </c>
      <c r="B20" s="11" t="s">
        <v>50</v>
      </c>
      <c r="C20" s="4">
        <f>C21</f>
        <v>0</v>
      </c>
      <c r="D20" s="4">
        <f t="shared" ref="D20:N20" si="7">D21</f>
        <v>0</v>
      </c>
      <c r="E20" s="4">
        <f t="shared" si="7"/>
        <v>0</v>
      </c>
      <c r="F20" s="4">
        <f t="shared" si="7"/>
        <v>0</v>
      </c>
      <c r="G20" s="4">
        <f t="shared" si="7"/>
        <v>0</v>
      </c>
      <c r="H20" s="4">
        <f t="shared" si="7"/>
        <v>0</v>
      </c>
      <c r="I20" s="4">
        <f t="shared" si="7"/>
        <v>0</v>
      </c>
      <c r="J20" s="4">
        <f t="shared" si="7"/>
        <v>0</v>
      </c>
      <c r="K20" s="4">
        <f t="shared" si="7"/>
        <v>0</v>
      </c>
      <c r="L20" s="4">
        <f t="shared" si="7"/>
        <v>0</v>
      </c>
      <c r="M20" s="4">
        <f t="shared" si="7"/>
        <v>0</v>
      </c>
      <c r="N20" s="4">
        <f t="shared" si="7"/>
        <v>0</v>
      </c>
      <c r="O20" s="5">
        <f>SUM(C20:N20)</f>
        <v>0</v>
      </c>
    </row>
    <row r="21" spans="1:15" ht="17.100000000000001" customHeight="1" x14ac:dyDescent="0.25">
      <c r="A21" s="6" t="s">
        <v>51</v>
      </c>
      <c r="B21" s="7" t="s">
        <v>52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>
        <f>SUM(C21:N21)</f>
        <v>0</v>
      </c>
    </row>
    <row r="22" spans="1:15" ht="17.100000000000001" customHeight="1" x14ac:dyDescent="0.25">
      <c r="A22" s="10" t="s">
        <v>53</v>
      </c>
      <c r="B22" s="11" t="s">
        <v>54</v>
      </c>
      <c r="C22" s="4">
        <f>C23</f>
        <v>0</v>
      </c>
      <c r="D22" s="4">
        <f t="shared" ref="D22:M22" si="8">D23</f>
        <v>0</v>
      </c>
      <c r="E22" s="4">
        <f t="shared" si="8"/>
        <v>0</v>
      </c>
      <c r="F22" s="4">
        <f t="shared" si="8"/>
        <v>0</v>
      </c>
      <c r="G22" s="4">
        <f t="shared" si="8"/>
        <v>0</v>
      </c>
      <c r="H22" s="4">
        <f t="shared" si="8"/>
        <v>0</v>
      </c>
      <c r="I22" s="4">
        <f t="shared" si="8"/>
        <v>0</v>
      </c>
      <c r="J22" s="4">
        <f>J23</f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>N23</f>
        <v>0</v>
      </c>
      <c r="O22" s="5">
        <f t="shared" si="1"/>
        <v>0</v>
      </c>
    </row>
    <row r="23" spans="1:15" ht="17.100000000000001" customHeight="1" x14ac:dyDescent="0.25">
      <c r="A23" s="6" t="s">
        <v>55</v>
      </c>
      <c r="B23" s="7" t="s">
        <v>54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>
        <f t="shared" si="1"/>
        <v>0</v>
      </c>
    </row>
    <row r="24" spans="1:15" ht="17.100000000000001" customHeight="1" x14ac:dyDescent="0.25">
      <c r="A24" s="12" t="s">
        <v>56</v>
      </c>
      <c r="B24" s="11" t="s">
        <v>57</v>
      </c>
      <c r="C24" s="4">
        <f>C25</f>
        <v>0</v>
      </c>
      <c r="D24" s="4">
        <f t="shared" ref="D24:M24" si="9">D25</f>
        <v>0</v>
      </c>
      <c r="E24" s="4">
        <f t="shared" si="9"/>
        <v>0</v>
      </c>
      <c r="F24" s="4">
        <f t="shared" si="9"/>
        <v>0</v>
      </c>
      <c r="G24" s="4">
        <f t="shared" si="9"/>
        <v>0</v>
      </c>
      <c r="H24" s="4">
        <f t="shared" si="9"/>
        <v>0</v>
      </c>
      <c r="I24" s="4">
        <f t="shared" si="9"/>
        <v>0</v>
      </c>
      <c r="J24" s="4">
        <f t="shared" si="9"/>
        <v>0</v>
      </c>
      <c r="K24" s="4">
        <f t="shared" si="9"/>
        <v>0</v>
      </c>
      <c r="L24" s="4">
        <f t="shared" si="9"/>
        <v>0</v>
      </c>
      <c r="M24" s="4">
        <f t="shared" si="9"/>
        <v>0</v>
      </c>
      <c r="N24" s="4">
        <f>N25</f>
        <v>0</v>
      </c>
      <c r="O24" s="5">
        <f t="shared" si="1"/>
        <v>0</v>
      </c>
    </row>
    <row r="25" spans="1:15" ht="17.100000000000001" customHeight="1" x14ac:dyDescent="0.25">
      <c r="A25" s="6" t="s">
        <v>58</v>
      </c>
      <c r="B25" s="7" t="s">
        <v>59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>
        <f t="shared" si="1"/>
        <v>0</v>
      </c>
    </row>
    <row r="26" spans="1:15" ht="17.100000000000001" customHeight="1" x14ac:dyDescent="0.25">
      <c r="A26" s="10" t="s">
        <v>60</v>
      </c>
      <c r="B26" s="11" t="s">
        <v>61</v>
      </c>
      <c r="C26" s="4">
        <f>SUM(C27:C28)</f>
        <v>22027</v>
      </c>
      <c r="D26" s="4">
        <f t="shared" ref="D26:M26" si="10">SUM(D27:D28)</f>
        <v>12227</v>
      </c>
      <c r="E26" s="4">
        <f t="shared" si="10"/>
        <v>14457</v>
      </c>
      <c r="F26" s="4">
        <f>SUM(F27:F28)</f>
        <v>13897</v>
      </c>
      <c r="G26" s="4">
        <f>SUM(G27:G28)</f>
        <v>16757</v>
      </c>
      <c r="H26" s="4">
        <f t="shared" si="10"/>
        <v>0</v>
      </c>
      <c r="I26" s="4">
        <f t="shared" si="10"/>
        <v>0</v>
      </c>
      <c r="J26" s="4">
        <f>SUM(J27:J28)</f>
        <v>0</v>
      </c>
      <c r="K26" s="4">
        <f>SUM(K27:K28)</f>
        <v>0</v>
      </c>
      <c r="L26" s="4">
        <f t="shared" si="10"/>
        <v>0</v>
      </c>
      <c r="M26" s="4">
        <f t="shared" si="10"/>
        <v>0</v>
      </c>
      <c r="N26" s="4">
        <f>SUM(N27:N28)</f>
        <v>0</v>
      </c>
      <c r="O26" s="5">
        <f t="shared" si="1"/>
        <v>79365</v>
      </c>
    </row>
    <row r="27" spans="1:15" ht="17.100000000000001" customHeight="1" x14ac:dyDescent="0.25">
      <c r="A27" s="6" t="s">
        <v>62</v>
      </c>
      <c r="B27" s="7" t="s">
        <v>63</v>
      </c>
      <c r="C27" s="8">
        <f>57</f>
        <v>57</v>
      </c>
      <c r="D27" s="8">
        <f>57+600</f>
        <v>657</v>
      </c>
      <c r="E27" s="8">
        <f>57</f>
        <v>57</v>
      </c>
      <c r="F27" s="8">
        <f>57</f>
        <v>57</v>
      </c>
      <c r="G27" s="8">
        <f>57</f>
        <v>57</v>
      </c>
      <c r="H27" s="8"/>
      <c r="I27" s="8"/>
      <c r="J27" s="8"/>
      <c r="K27" s="8"/>
      <c r="L27" s="8"/>
      <c r="M27" s="8"/>
      <c r="N27" s="8"/>
      <c r="O27" s="9">
        <f t="shared" si="1"/>
        <v>885</v>
      </c>
    </row>
    <row r="28" spans="1:15" ht="17.100000000000001" customHeight="1" x14ac:dyDescent="0.25">
      <c r="A28" s="6" t="s">
        <v>64</v>
      </c>
      <c r="B28" s="7" t="s">
        <v>65</v>
      </c>
      <c r="C28" s="8">
        <f>2780+3530+8670+3490+3500</f>
        <v>21970</v>
      </c>
      <c r="D28" s="8">
        <f>4000+3720+3850</f>
        <v>11570</v>
      </c>
      <c r="E28" s="8">
        <f>4410+3550+3440+3000</f>
        <v>14400</v>
      </c>
      <c r="F28" s="8">
        <f>3500+2910+3580+3850</f>
        <v>13840</v>
      </c>
      <c r="G28" s="8">
        <f>3600+3540+3000+3330+3230</f>
        <v>16700</v>
      </c>
      <c r="H28" s="8"/>
      <c r="I28" s="8"/>
      <c r="J28" s="8"/>
      <c r="K28" s="8"/>
      <c r="L28" s="8"/>
      <c r="M28" s="8"/>
      <c r="N28" s="8"/>
      <c r="O28" s="9">
        <f t="shared" si="1"/>
        <v>78480</v>
      </c>
    </row>
    <row r="29" spans="1:15" ht="17.100000000000001" customHeight="1" x14ac:dyDescent="0.25">
      <c r="A29" s="12" t="s">
        <v>66</v>
      </c>
      <c r="B29" s="11" t="s">
        <v>67</v>
      </c>
      <c r="C29" s="4">
        <f>SUM(C30:C31)</f>
        <v>31954</v>
      </c>
      <c r="D29" s="4">
        <f t="shared" ref="D29:M29" si="11">SUM(D30:D31)</f>
        <v>11025</v>
      </c>
      <c r="E29" s="4">
        <f t="shared" si="11"/>
        <v>6804</v>
      </c>
      <c r="F29" s="4">
        <f>SUM(F30:F31)</f>
        <v>6330</v>
      </c>
      <c r="G29" s="4">
        <f t="shared" si="11"/>
        <v>6339.6</v>
      </c>
      <c r="H29" s="4">
        <f t="shared" si="11"/>
        <v>0</v>
      </c>
      <c r="I29" s="4">
        <f t="shared" si="11"/>
        <v>0</v>
      </c>
      <c r="J29" s="4">
        <f>SUM(J30:J31)</f>
        <v>0</v>
      </c>
      <c r="K29" s="4">
        <f>SUM(K30:K31)</f>
        <v>0</v>
      </c>
      <c r="L29" s="4">
        <f t="shared" si="11"/>
        <v>0</v>
      </c>
      <c r="M29" s="4">
        <f t="shared" si="11"/>
        <v>0</v>
      </c>
      <c r="N29" s="4">
        <f>SUM(N30:N31)</f>
        <v>0</v>
      </c>
      <c r="O29" s="5">
        <f t="shared" si="1"/>
        <v>62452.6</v>
      </c>
    </row>
    <row r="30" spans="1:15" ht="17.100000000000001" customHeight="1" x14ac:dyDescent="0.25">
      <c r="A30" s="6" t="s">
        <v>68</v>
      </c>
      <c r="B30" s="7" t="s">
        <v>69</v>
      </c>
      <c r="C30" s="8">
        <f>2500+5250+2625+4695+144+5250+2625+3615+5250</f>
        <v>31954</v>
      </c>
      <c r="D30" s="8">
        <f>5250+3615+1080+1080</f>
        <v>11025</v>
      </c>
      <c r="E30" s="8">
        <f>1674+1080+1425+2625</f>
        <v>6804</v>
      </c>
      <c r="F30" s="8">
        <f>2625+1080+2625</f>
        <v>6330</v>
      </c>
      <c r="G30" s="8">
        <f>990+1080+3279.6+990</f>
        <v>6339.6</v>
      </c>
      <c r="H30" s="8"/>
      <c r="I30" s="8"/>
      <c r="J30" s="8"/>
      <c r="K30" s="8"/>
      <c r="L30" s="8"/>
      <c r="M30" s="8"/>
      <c r="N30" s="8"/>
      <c r="O30" s="9">
        <f t="shared" si="1"/>
        <v>62452.6</v>
      </c>
    </row>
    <row r="31" spans="1:15" ht="17.100000000000001" customHeight="1" x14ac:dyDescent="0.25">
      <c r="A31" s="6" t="s">
        <v>70</v>
      </c>
      <c r="B31" s="7" t="s">
        <v>71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>
        <f t="shared" si="1"/>
        <v>0</v>
      </c>
    </row>
    <row r="32" spans="1:15" ht="17.100000000000001" customHeight="1" x14ac:dyDescent="0.25">
      <c r="A32" s="10" t="s">
        <v>72</v>
      </c>
      <c r="B32" s="11" t="s">
        <v>73</v>
      </c>
      <c r="C32" s="4">
        <f>SUM(C33:C35)</f>
        <v>0</v>
      </c>
      <c r="D32" s="4">
        <f t="shared" ref="D32:M32" si="12">SUM(D33:D35)</f>
        <v>0</v>
      </c>
      <c r="E32" s="4">
        <f t="shared" si="12"/>
        <v>0</v>
      </c>
      <c r="F32" s="4">
        <f t="shared" si="12"/>
        <v>0</v>
      </c>
      <c r="G32" s="4">
        <f t="shared" si="12"/>
        <v>0</v>
      </c>
      <c r="H32" s="4">
        <f t="shared" si="12"/>
        <v>0</v>
      </c>
      <c r="I32" s="4">
        <f t="shared" si="12"/>
        <v>0</v>
      </c>
      <c r="J32" s="4">
        <f>SUM(J33:J35)</f>
        <v>0</v>
      </c>
      <c r="K32" s="4">
        <f>SUM(K33:K35)</f>
        <v>0</v>
      </c>
      <c r="L32" s="4">
        <f t="shared" si="12"/>
        <v>0</v>
      </c>
      <c r="M32" s="4">
        <f t="shared" si="12"/>
        <v>0</v>
      </c>
      <c r="N32" s="4">
        <f>SUM(N33:N35)</f>
        <v>0</v>
      </c>
      <c r="O32" s="5">
        <f t="shared" si="1"/>
        <v>0</v>
      </c>
    </row>
    <row r="33" spans="1:15" ht="17.100000000000001" customHeight="1" x14ac:dyDescent="0.25">
      <c r="A33" s="6" t="s">
        <v>74</v>
      </c>
      <c r="B33" s="7" t="s">
        <v>75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>
        <f t="shared" si="1"/>
        <v>0</v>
      </c>
    </row>
    <row r="34" spans="1:15" ht="17.100000000000001" customHeight="1" x14ac:dyDescent="0.25">
      <c r="A34" s="6" t="s">
        <v>76</v>
      </c>
      <c r="B34" s="7" t="s">
        <v>77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>
        <f t="shared" si="1"/>
        <v>0</v>
      </c>
    </row>
    <row r="35" spans="1:15" ht="17.100000000000001" customHeight="1" x14ac:dyDescent="0.25">
      <c r="A35" s="6" t="s">
        <v>78</v>
      </c>
      <c r="B35" s="7" t="s">
        <v>79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>
        <f t="shared" si="1"/>
        <v>0</v>
      </c>
    </row>
    <row r="36" spans="1:15" ht="17.100000000000001" customHeight="1" x14ac:dyDescent="0.25">
      <c r="A36" s="10" t="s">
        <v>80</v>
      </c>
      <c r="B36" s="11" t="s">
        <v>81</v>
      </c>
      <c r="C36" s="4">
        <f>SUM(C37:C39)</f>
        <v>87600</v>
      </c>
      <c r="D36" s="4">
        <f t="shared" ref="D36:M36" si="13">SUM(D37:D39)</f>
        <v>57646</v>
      </c>
      <c r="E36" s="4">
        <f>SUM(E37:E39)</f>
        <v>27592</v>
      </c>
      <c r="F36" s="4">
        <f>SUM(F37:F39)</f>
        <v>11822</v>
      </c>
      <c r="G36" s="4">
        <f>SUM(G37:G39)</f>
        <v>11942</v>
      </c>
      <c r="H36" s="4">
        <f t="shared" si="13"/>
        <v>0</v>
      </c>
      <c r="I36" s="4">
        <f t="shared" si="13"/>
        <v>0</v>
      </c>
      <c r="J36" s="4">
        <f>SUM(J37:J39)</f>
        <v>0</v>
      </c>
      <c r="K36" s="4">
        <f>SUM(K37:K39)</f>
        <v>0</v>
      </c>
      <c r="L36" s="4">
        <f t="shared" si="13"/>
        <v>0</v>
      </c>
      <c r="M36" s="4">
        <f t="shared" si="13"/>
        <v>0</v>
      </c>
      <c r="N36" s="4">
        <f>SUM(N37:N39)</f>
        <v>0</v>
      </c>
      <c r="O36" s="5">
        <f t="shared" si="1"/>
        <v>196602</v>
      </c>
    </row>
    <row r="37" spans="1:15" ht="17.100000000000001" customHeight="1" x14ac:dyDescent="0.25">
      <c r="A37" s="6" t="s">
        <v>82</v>
      </c>
      <c r="B37" s="7" t="s">
        <v>83</v>
      </c>
      <c r="C37" s="8">
        <f>2124+1084+5312+2124+3186+1062+2124+3165+9915+4248+4248+6190+1062+2124+1062+1062</f>
        <v>50092</v>
      </c>
      <c r="D37" s="8">
        <f>1062+1062+1062+1062+1062+1062+2455+1062+15077+2124+4248</f>
        <v>31338</v>
      </c>
      <c r="E37" s="8">
        <f>1062+1062+1062+2124+3165+2705</f>
        <v>11180</v>
      </c>
      <c r="F37" s="8">
        <f>2262+3470+1062</f>
        <v>6794</v>
      </c>
      <c r="G37" s="8">
        <f>5229+1062+1062</f>
        <v>7353</v>
      </c>
      <c r="H37" s="8"/>
      <c r="I37" s="8"/>
      <c r="J37" s="8"/>
      <c r="K37" s="8"/>
      <c r="L37" s="8"/>
      <c r="M37" s="8"/>
      <c r="N37" s="8"/>
      <c r="O37" s="9">
        <f t="shared" si="1"/>
        <v>106757</v>
      </c>
    </row>
    <row r="38" spans="1:15" ht="17.100000000000001" customHeight="1" x14ac:dyDescent="0.25">
      <c r="A38" s="6" t="s">
        <v>84</v>
      </c>
      <c r="B38" s="7" t="s">
        <v>85</v>
      </c>
      <c r="C38" s="8">
        <f>2020+3186</f>
        <v>5206</v>
      </c>
      <c r="D38" s="8">
        <f>3112+2000</f>
        <v>5112</v>
      </c>
      <c r="E38" s="8">
        <f>2028+4763</f>
        <v>6791</v>
      </c>
      <c r="F38" s="8"/>
      <c r="G38" s="8"/>
      <c r="H38" s="8"/>
      <c r="I38" s="8"/>
      <c r="J38" s="8"/>
      <c r="K38" s="8"/>
      <c r="L38" s="8"/>
      <c r="M38" s="8"/>
      <c r="N38" s="8"/>
      <c r="O38" s="9">
        <f t="shared" si="1"/>
        <v>17109</v>
      </c>
    </row>
    <row r="39" spans="1:15" ht="17.100000000000001" customHeight="1" x14ac:dyDescent="0.25">
      <c r="A39" s="6" t="s">
        <v>86</v>
      </c>
      <c r="B39" s="7" t="s">
        <v>87</v>
      </c>
      <c r="C39" s="8">
        <f>420+630+630+1050+1680+630+2310+420+3679+420+1470+630+1260+2071+1953+840+1260+2510+1880+1260+2100+3199</f>
        <v>32302</v>
      </c>
      <c r="D39" s="8">
        <f>2100+1651+1260+1260+1470+1680+210+630+1050+630+630+1260+1622+420+630+1470+1333+1470+420</f>
        <v>21196</v>
      </c>
      <c r="E39" s="8">
        <f>830+840+420+630+630+420+210+210+630+1050+210+1441+420+210+210+630+210+210+210</f>
        <v>9621</v>
      </c>
      <c r="F39" s="8">
        <f>210+210+1202+210+781+210+630+210+525+210+210+210+210</f>
        <v>5028</v>
      </c>
      <c r="G39" s="8">
        <f>840+210+420+210+420+210+210+1439+210+210+210</f>
        <v>4589</v>
      </c>
      <c r="H39" s="8"/>
      <c r="I39" s="8"/>
      <c r="J39" s="8"/>
      <c r="K39" s="8"/>
      <c r="L39" s="8"/>
      <c r="M39" s="8"/>
      <c r="N39" s="8"/>
      <c r="O39" s="9">
        <f t="shared" si="1"/>
        <v>72736</v>
      </c>
    </row>
    <row r="40" spans="1:15" ht="17.100000000000001" customHeight="1" x14ac:dyDescent="0.25">
      <c r="A40" s="10" t="s">
        <v>88</v>
      </c>
      <c r="B40" s="11" t="s">
        <v>89</v>
      </c>
      <c r="C40" s="4">
        <f>SUM(C41:C42)</f>
        <v>6111</v>
      </c>
      <c r="D40" s="4">
        <f>SUM(D41:D42)</f>
        <v>3233</v>
      </c>
      <c r="E40" s="4">
        <f>SUM(E41:E42)</f>
        <v>936</v>
      </c>
      <c r="F40" s="4">
        <f>SUM(F41:F42)</f>
        <v>511</v>
      </c>
      <c r="G40" s="4">
        <f t="shared" ref="G40:M40" si="14">SUM(G41:G42)</f>
        <v>6224.8</v>
      </c>
      <c r="H40" s="4">
        <f t="shared" si="14"/>
        <v>0</v>
      </c>
      <c r="I40" s="4">
        <f t="shared" si="14"/>
        <v>0</v>
      </c>
      <c r="J40" s="4">
        <f>SUM(J41:J42)</f>
        <v>0</v>
      </c>
      <c r="K40" s="4">
        <f>SUM(K41:K42)</f>
        <v>0</v>
      </c>
      <c r="L40" s="4">
        <f t="shared" si="14"/>
        <v>0</v>
      </c>
      <c r="M40" s="4">
        <f t="shared" si="14"/>
        <v>0</v>
      </c>
      <c r="N40" s="4">
        <f>SUM(N41:N42)</f>
        <v>0</v>
      </c>
      <c r="O40" s="5">
        <f t="shared" si="1"/>
        <v>17015.8</v>
      </c>
    </row>
    <row r="41" spans="1:15" ht="17.100000000000001" customHeight="1" x14ac:dyDescent="0.25">
      <c r="A41" s="6" t="s">
        <v>90</v>
      </c>
      <c r="B41" s="7" t="s">
        <v>91</v>
      </c>
      <c r="C41" s="8">
        <f>167+10+146+392+78+95+56+140+3020+79+131+959+128+218+56+256</f>
        <v>5931</v>
      </c>
      <c r="D41" s="8">
        <f>78+168+168+875+28+28+1245+76+84+111+132</f>
        <v>2993</v>
      </c>
      <c r="E41" s="8">
        <f>33+35+56+239+413</f>
        <v>776</v>
      </c>
      <c r="F41" s="8">
        <f>56</f>
        <v>56</v>
      </c>
      <c r="G41" s="8">
        <f>56+1275+35</f>
        <v>1366</v>
      </c>
      <c r="H41" s="8"/>
      <c r="I41" s="8"/>
      <c r="J41" s="8"/>
      <c r="K41" s="8"/>
      <c r="L41" s="8"/>
      <c r="M41" s="8"/>
      <c r="N41" s="8"/>
      <c r="O41" s="9">
        <f t="shared" si="1"/>
        <v>11122</v>
      </c>
    </row>
    <row r="42" spans="1:15" ht="17.100000000000001" customHeight="1" x14ac:dyDescent="0.25">
      <c r="A42" s="6" t="s">
        <v>92</v>
      </c>
      <c r="B42" s="7" t="s">
        <v>93</v>
      </c>
      <c r="C42" s="8">
        <f>20+20+20+20+80+20</f>
        <v>180</v>
      </c>
      <c r="D42" s="8">
        <f>20+40+20+20+20+20+20+40+20+20</f>
        <v>240</v>
      </c>
      <c r="E42" s="8">
        <f>20+35+35+70</f>
        <v>160</v>
      </c>
      <c r="F42" s="8">
        <f>35+70+70+35+35+70+35+70+35</f>
        <v>455</v>
      </c>
      <c r="G42" s="8">
        <f>1900+35+35+2853.8+35</f>
        <v>4858.8</v>
      </c>
      <c r="H42" s="8"/>
      <c r="I42" s="8"/>
      <c r="J42" s="8"/>
      <c r="K42" s="8"/>
      <c r="L42" s="8"/>
      <c r="M42" s="8"/>
      <c r="N42" s="8"/>
      <c r="O42" s="9">
        <f t="shared" si="1"/>
        <v>5893.8</v>
      </c>
    </row>
    <row r="43" spans="1:15" ht="17.100000000000001" customHeight="1" x14ac:dyDescent="0.25">
      <c r="A43" s="10" t="s">
        <v>94</v>
      </c>
      <c r="B43" s="11" t="s">
        <v>95</v>
      </c>
      <c r="C43" s="4">
        <f>C44+C45+C46</f>
        <v>6911.63</v>
      </c>
      <c r="D43" s="4">
        <f>D44+D45+D46</f>
        <v>25510.38</v>
      </c>
      <c r="E43" s="4">
        <f>E44+E46+E45</f>
        <v>174571.78999999998</v>
      </c>
      <c r="F43" s="4">
        <f>F44+F45+F46</f>
        <v>15940.24</v>
      </c>
      <c r="G43" s="4">
        <f>G44+G45+G46</f>
        <v>9175.7000000000007</v>
      </c>
      <c r="H43" s="4">
        <f t="shared" ref="H43:N43" si="15">H44+H45+H46</f>
        <v>0</v>
      </c>
      <c r="I43" s="4">
        <f t="shared" si="15"/>
        <v>0</v>
      </c>
      <c r="J43" s="4">
        <f t="shared" si="15"/>
        <v>0</v>
      </c>
      <c r="K43" s="4">
        <f t="shared" si="15"/>
        <v>0</v>
      </c>
      <c r="L43" s="4">
        <f t="shared" si="15"/>
        <v>0</v>
      </c>
      <c r="M43" s="4">
        <f t="shared" si="15"/>
        <v>0</v>
      </c>
      <c r="N43" s="4">
        <f t="shared" si="15"/>
        <v>0</v>
      </c>
      <c r="O43" s="5">
        <f t="shared" si="1"/>
        <v>232109.74</v>
      </c>
    </row>
    <row r="44" spans="1:15" ht="17.100000000000001" customHeight="1" x14ac:dyDescent="0.25">
      <c r="A44" s="6" t="s">
        <v>96</v>
      </c>
      <c r="B44" s="7" t="s">
        <v>97</v>
      </c>
      <c r="C44" s="8">
        <f>382.46+331+334.4+993+993+993+406.6+129.36+156.56+39.25+871.96+224.2+993</f>
        <v>6847.79</v>
      </c>
      <c r="D44" s="8">
        <f>993+993+1266.6+1986+562.4+2810.55+1128.8+102.6+3972+2309.12+1389.45+1049.27+3612.02+819.34+2054.87</f>
        <v>25049.02</v>
      </c>
      <c r="E44" s="8">
        <f>3561.21+11.4+1986+1258.42+160365.6+993+1661.8+3290.36+993</f>
        <v>174120.78999999998</v>
      </c>
      <c r="F44" s="8">
        <f>420.09+993+2701.5+4175.67+22.8+2979+108+1367.04+199.12+544.92+1986+391.35</f>
        <v>15888.49</v>
      </c>
      <c r="G44" s="8">
        <f>1986+1442.5+22.8+993+601.96+993+300.5+410.4+169.54</f>
        <v>6919.7</v>
      </c>
      <c r="H44" s="8"/>
      <c r="I44" s="8"/>
      <c r="J44" s="8"/>
      <c r="K44" s="8"/>
      <c r="L44" s="8"/>
      <c r="M44" s="8"/>
      <c r="N44" s="8"/>
      <c r="O44" s="9">
        <f t="shared" si="1"/>
        <v>228825.78999999998</v>
      </c>
    </row>
    <row r="45" spans="1:15" ht="17.100000000000001" customHeight="1" x14ac:dyDescent="0.25">
      <c r="A45" s="6" t="s">
        <v>98</v>
      </c>
      <c r="B45" s="7" t="s">
        <v>99</v>
      </c>
      <c r="C45" s="8">
        <f>63.84</f>
        <v>63.84</v>
      </c>
      <c r="D45" s="8">
        <f>160.36</f>
        <v>160.36000000000001</v>
      </c>
      <c r="E45" s="8"/>
      <c r="F45" s="8">
        <f>51.75</f>
        <v>51.75</v>
      </c>
      <c r="G45" s="8"/>
      <c r="H45" s="8"/>
      <c r="I45" s="8"/>
      <c r="J45" s="8"/>
      <c r="K45" s="8"/>
      <c r="L45" s="8"/>
      <c r="M45" s="8"/>
      <c r="N45" s="8"/>
      <c r="O45" s="9"/>
    </row>
    <row r="46" spans="1:15" ht="17.100000000000001" customHeight="1" x14ac:dyDescent="0.25">
      <c r="A46" s="6" t="s">
        <v>100</v>
      </c>
      <c r="B46" s="7" t="s">
        <v>101</v>
      </c>
      <c r="C46" s="8"/>
      <c r="D46" s="8">
        <f>301</f>
        <v>301</v>
      </c>
      <c r="E46" s="8">
        <f>451</f>
        <v>451</v>
      </c>
      <c r="F46" s="8"/>
      <c r="G46" s="8">
        <f>301+301+601.5+300.5+752</f>
        <v>2256</v>
      </c>
      <c r="H46" s="8"/>
      <c r="I46" s="8"/>
      <c r="J46" s="8"/>
      <c r="K46" s="8"/>
      <c r="L46" s="8"/>
      <c r="M46" s="8"/>
      <c r="N46" s="8"/>
      <c r="O46" s="9">
        <f t="shared" si="1"/>
        <v>3008</v>
      </c>
    </row>
    <row r="47" spans="1:15" ht="17.100000000000001" customHeight="1" x14ac:dyDescent="0.25">
      <c r="A47" s="10" t="s">
        <v>102</v>
      </c>
      <c r="B47" s="11" t="s">
        <v>103</v>
      </c>
      <c r="C47" s="4">
        <f>SUM(C48:C49)</f>
        <v>4437.1099999999997</v>
      </c>
      <c r="D47" s="4">
        <f t="shared" ref="D47:K47" si="16">SUM(D48:D49)</f>
        <v>14923.480000000001</v>
      </c>
      <c r="E47" s="4">
        <f>SUM(E48:E49)</f>
        <v>6129.0300000000007</v>
      </c>
      <c r="F47" s="4">
        <f>SUM(F48:F49)</f>
        <v>5034.2300000000005</v>
      </c>
      <c r="G47" s="4">
        <f>SUM(G48:G49)</f>
        <v>4443.4500000000007</v>
      </c>
      <c r="H47" s="4">
        <f t="shared" si="16"/>
        <v>0</v>
      </c>
      <c r="I47" s="4">
        <f t="shared" si="16"/>
        <v>0</v>
      </c>
      <c r="J47" s="4">
        <f>SUM(J48:J49)</f>
        <v>0</v>
      </c>
      <c r="K47" s="4">
        <f t="shared" si="16"/>
        <v>0</v>
      </c>
      <c r="L47" s="4">
        <f>SUM(L48:L49)</f>
        <v>0</v>
      </c>
      <c r="M47" s="4">
        <f>SUM(M48:M49)</f>
        <v>0</v>
      </c>
      <c r="N47" s="4">
        <f>SUM(N48:N49)</f>
        <v>0</v>
      </c>
      <c r="O47" s="5">
        <f t="shared" si="1"/>
        <v>34967.300000000003</v>
      </c>
    </row>
    <row r="48" spans="1:15" ht="17.100000000000001" customHeight="1" x14ac:dyDescent="0.25">
      <c r="A48" s="6" t="s">
        <v>104</v>
      </c>
      <c r="B48" s="7" t="s">
        <v>105</v>
      </c>
      <c r="C48" s="8">
        <f>986.17+1580.54+679+970.4</f>
        <v>4216.1099999999997</v>
      </c>
      <c r="D48" s="8">
        <f>538.56+2313.31+89.76+1246.48+180.78+807.84+269.28+1328.8+2348.84+538.56+3173.3+1832.97</f>
        <v>14668.480000000001</v>
      </c>
      <c r="E48" s="8">
        <f>89.76+269.28+538.56+269.28+1130.88+2161.15+179.52+179.52+180+776.32+90+90+89.76</f>
        <v>6044.0300000000007</v>
      </c>
      <c r="F48" s="8">
        <f>725.01+1567.18+179.52+909.75+179.52+269.28+179.52+179.52+657.93</f>
        <v>4847.2300000000005</v>
      </c>
      <c r="G48" s="8">
        <f>959.11+179.52+269.28+359.04+89.76+861.23+764.19+179.52+179.52+269.52+90+89.76</f>
        <v>4290.4500000000007</v>
      </c>
      <c r="H48" s="8"/>
      <c r="I48" s="8"/>
      <c r="J48" s="8"/>
      <c r="K48" s="8"/>
      <c r="L48" s="8"/>
      <c r="M48" s="8"/>
      <c r="N48" s="8"/>
      <c r="O48" s="9">
        <f t="shared" si="1"/>
        <v>34066.300000000003</v>
      </c>
    </row>
    <row r="49" spans="1:15" ht="17.100000000000001" customHeight="1" x14ac:dyDescent="0.25">
      <c r="A49" s="6" t="s">
        <v>106</v>
      </c>
      <c r="B49" s="7" t="s">
        <v>107</v>
      </c>
      <c r="C49" s="8">
        <f>34+17+17+17+17+17+34+34+34</f>
        <v>221</v>
      </c>
      <c r="D49" s="8">
        <f>34+17+17+34+17+34+34+34+17+17</f>
        <v>255</v>
      </c>
      <c r="E49" s="8">
        <f>17+17+17+17+17</f>
        <v>85</v>
      </c>
      <c r="F49" s="8">
        <f>34+34+17+17+17+34+17+17</f>
        <v>187</v>
      </c>
      <c r="G49" s="8">
        <f>34+17+17+17+34+17+17</f>
        <v>153</v>
      </c>
      <c r="H49" s="8"/>
      <c r="I49" s="8"/>
      <c r="J49" s="8"/>
      <c r="K49" s="8"/>
      <c r="L49" s="8"/>
      <c r="M49" s="8"/>
      <c r="N49" s="8"/>
      <c r="O49" s="9">
        <f t="shared" si="1"/>
        <v>901</v>
      </c>
    </row>
    <row r="50" spans="1:15" ht="17.100000000000001" customHeight="1" x14ac:dyDescent="0.25">
      <c r="A50" s="10" t="s">
        <v>108</v>
      </c>
      <c r="B50" s="11" t="s">
        <v>109</v>
      </c>
      <c r="C50" s="4">
        <f>SUM(C51:C52)</f>
        <v>1817</v>
      </c>
      <c r="D50" s="4">
        <f t="shared" ref="D50:M50" si="17">SUM(D51:D52)</f>
        <v>1403</v>
      </c>
      <c r="E50" s="4">
        <f t="shared" si="17"/>
        <v>1863</v>
      </c>
      <c r="F50" s="4">
        <f>SUM(F51:F52)</f>
        <v>1012</v>
      </c>
      <c r="G50" s="4">
        <f>SUM(G51:G52)</f>
        <v>1334</v>
      </c>
      <c r="H50" s="4">
        <f t="shared" si="17"/>
        <v>0</v>
      </c>
      <c r="I50" s="4"/>
      <c r="J50" s="4">
        <f>SUM(J51:J52)</f>
        <v>0</v>
      </c>
      <c r="K50" s="4">
        <f t="shared" si="17"/>
        <v>0</v>
      </c>
      <c r="L50" s="4">
        <f>SUM(L51:L52)</f>
        <v>0</v>
      </c>
      <c r="M50" s="4">
        <f t="shared" si="17"/>
        <v>0</v>
      </c>
      <c r="N50" s="4">
        <f>SUM(N51:N52)</f>
        <v>0</v>
      </c>
      <c r="O50" s="5">
        <f t="shared" si="1"/>
        <v>7429</v>
      </c>
    </row>
    <row r="51" spans="1:15" ht="17.100000000000001" customHeight="1" x14ac:dyDescent="0.25">
      <c r="A51" s="6" t="s">
        <v>110</v>
      </c>
      <c r="B51" s="7" t="s">
        <v>111</v>
      </c>
      <c r="C51" s="8">
        <f>115+115+115+115+115+230+230+230+115+115+115</f>
        <v>1610</v>
      </c>
      <c r="D51" s="8">
        <f>115+115+115+115+115+115+345+230</f>
        <v>1265</v>
      </c>
      <c r="E51" s="8">
        <f>115+115+230+115+115+115+230+115+230+115+230</f>
        <v>1725</v>
      </c>
      <c r="F51" s="8">
        <f>115+115+115+115+230+115</f>
        <v>805</v>
      </c>
      <c r="G51" s="8">
        <f>115+115+230+230+115+115+230+115</f>
        <v>1265</v>
      </c>
      <c r="H51" s="8"/>
      <c r="I51" s="8"/>
      <c r="J51" s="8"/>
      <c r="K51" s="8"/>
      <c r="L51" s="8"/>
      <c r="M51" s="8"/>
      <c r="N51" s="8"/>
      <c r="O51" s="9">
        <f t="shared" si="1"/>
        <v>6670</v>
      </c>
    </row>
    <row r="52" spans="1:15" ht="17.100000000000001" customHeight="1" x14ac:dyDescent="0.25">
      <c r="A52" s="6" t="s">
        <v>112</v>
      </c>
      <c r="B52" s="7" t="s">
        <v>113</v>
      </c>
      <c r="C52" s="8">
        <f>69+69+69</f>
        <v>207</v>
      </c>
      <c r="D52" s="8">
        <f>69+69</f>
        <v>138</v>
      </c>
      <c r="E52" s="8">
        <f>138</f>
        <v>138</v>
      </c>
      <c r="F52" s="8">
        <f>138+69</f>
        <v>207</v>
      </c>
      <c r="G52" s="8">
        <f>69</f>
        <v>69</v>
      </c>
      <c r="H52" s="8"/>
      <c r="I52" s="8"/>
      <c r="J52" s="8"/>
      <c r="K52" s="8"/>
      <c r="L52" s="8"/>
      <c r="M52" s="8"/>
      <c r="N52" s="8"/>
      <c r="O52" s="9">
        <f t="shared" si="1"/>
        <v>759</v>
      </c>
    </row>
    <row r="53" spans="1:15" ht="17.100000000000001" customHeight="1" x14ac:dyDescent="0.25">
      <c r="A53" s="10" t="s">
        <v>114</v>
      </c>
      <c r="B53" s="11" t="s">
        <v>115</v>
      </c>
      <c r="C53" s="4">
        <f>SUM(C54:C57)</f>
        <v>3694999.6599999997</v>
      </c>
      <c r="D53" s="4">
        <f t="shared" ref="D53:M53" si="18">SUM(D54:D57)</f>
        <v>1496971.7399999998</v>
      </c>
      <c r="E53" s="4">
        <f t="shared" si="18"/>
        <v>611181.28999999992</v>
      </c>
      <c r="F53" s="4">
        <f>SUM(F54:F57)</f>
        <v>152686.14000000001</v>
      </c>
      <c r="G53" s="4">
        <f t="shared" si="18"/>
        <v>107959.12000000001</v>
      </c>
      <c r="H53" s="4">
        <f t="shared" si="18"/>
        <v>0</v>
      </c>
      <c r="I53" s="4">
        <f t="shared" si="18"/>
        <v>0</v>
      </c>
      <c r="J53" s="4">
        <f>SUM(J54:J57)</f>
        <v>0</v>
      </c>
      <c r="K53" s="4">
        <f t="shared" si="18"/>
        <v>0</v>
      </c>
      <c r="L53" s="4">
        <f>SUM(L54:L57)</f>
        <v>0</v>
      </c>
      <c r="M53" s="4">
        <f t="shared" si="18"/>
        <v>0</v>
      </c>
      <c r="N53" s="4">
        <f>SUM(N54:N57)</f>
        <v>0</v>
      </c>
      <c r="O53" s="5">
        <f t="shared" si="1"/>
        <v>6063797.9499999993</v>
      </c>
    </row>
    <row r="54" spans="1:15" ht="17.100000000000001" customHeight="1" x14ac:dyDescent="0.25">
      <c r="A54" s="13" t="s">
        <v>116</v>
      </c>
      <c r="B54" s="14" t="s">
        <v>117</v>
      </c>
      <c r="C54" s="8">
        <f>118234.12+177769.73+132324.79+92785.35+123699.91+157655.98+146260.47+88096.39+131593.39+135493.79+129247.6+124819.34+108238.51+111802.75+146208.86+120087.24+149733.75+143439.26+105714.41+116703.75+125364.43</f>
        <v>2685273.82</v>
      </c>
      <c r="D54" s="8">
        <f>104286.67+59368.31+36120.11+71966.27+90525.17+58267.09+54558.71+62186.87+52453.2+60270.94+52394.87+66383.84+64588.07+78343.38+54131.34+38508.2+25196.99+34844.03+36396.89</f>
        <v>1100790.9499999997</v>
      </c>
      <c r="E54" s="8">
        <f>17965.68+37017.46+15033.37+41693.22+58705.66+46637.43+68072.98+176781.95</f>
        <v>461907.75</v>
      </c>
      <c r="F54" s="8">
        <f>51053.63+69510.07</f>
        <v>120563.70000000001</v>
      </c>
      <c r="G54" s="8">
        <f>34210.66+53735.35</f>
        <v>87946.010000000009</v>
      </c>
      <c r="H54" s="8"/>
      <c r="I54" s="8"/>
      <c r="J54" s="8"/>
      <c r="K54" s="8"/>
      <c r="L54" s="8"/>
      <c r="M54" s="8"/>
      <c r="N54" s="8"/>
      <c r="O54" s="9">
        <f t="shared" si="1"/>
        <v>4456482.2299999995</v>
      </c>
    </row>
    <row r="55" spans="1:15" ht="17.100000000000001" customHeight="1" x14ac:dyDescent="0.25">
      <c r="A55" s="13" t="s">
        <v>118</v>
      </c>
      <c r="B55" s="14" t="s">
        <v>119</v>
      </c>
      <c r="C55" s="8">
        <f>36195.64+51020.95+38797+26824.6+37428.16+48556.1+42730.61+26831.3+38515.9+39240.55+38162.52+36188.97+30563.3+32872.99+42821.04+34129.34+40890.59+38899.6+29051.72+31649.6+35867.21</f>
        <v>777237.68999999983</v>
      </c>
      <c r="D55" s="8">
        <f>26458.85+16060.94+10844.28+21775.77+26746.05+17455.22+15823.48+17073.76+15125.04+15871.8+14363.02+17808.54+15693.26+20538.18+14575.46+10692.22+7357.73+9462.68+11027.99</f>
        <v>304754.26999999996</v>
      </c>
      <c r="E55" s="8">
        <f>4782.38+10164.25+3537.26+9651.45+15397.7+11866.78+17171.59+42285.8</f>
        <v>114857.21</v>
      </c>
      <c r="F55" s="8">
        <f>11990.38+12719.16</f>
        <v>24709.54</v>
      </c>
      <c r="G55" s="8">
        <f>7640.92+7578.86</f>
        <v>15219.779999999999</v>
      </c>
      <c r="H55" s="8"/>
      <c r="I55" s="8"/>
      <c r="J55" s="8"/>
      <c r="K55" s="8"/>
      <c r="L55" s="8"/>
      <c r="M55" s="8"/>
      <c r="N55" s="8"/>
      <c r="O55" s="9">
        <f t="shared" si="1"/>
        <v>1236778.4899999998</v>
      </c>
    </row>
    <row r="56" spans="1:15" ht="17.100000000000001" customHeight="1" x14ac:dyDescent="0.25">
      <c r="A56" s="13" t="s">
        <v>120</v>
      </c>
      <c r="B56" s="14" t="s">
        <v>121</v>
      </c>
      <c r="C56" s="8">
        <f>10855.72+15306.33+11857.91+8047.37+11228.46+13900.1+12819.25+8049.44+11554.83+11774.73+11490.34+10859.28+9169.03+9861.93+12875.35+10263.51+11933+11671.01+8715.53+9494.86+10760.17</f>
        <v>232488.15000000005</v>
      </c>
      <c r="D56" s="8">
        <f>7937.73+4818.29+3253.31+6532.75+8023.82+5236.58+4747.06+5122.13+4537.52+4761.54+4308.92+5342.56+4707.98+6161.48+4372.63+3207.66+2207.34+2838.81+3308.41</f>
        <v>91426.52</v>
      </c>
      <c r="E56" s="8">
        <f>1434.73+3049.28+1061.18+2895.46+4594.31+3550.05+5145.48+12685.84</f>
        <v>34416.33</v>
      </c>
      <c r="F56" s="8">
        <f>3597.14+3815.76</f>
        <v>7412.9</v>
      </c>
      <c r="G56" s="8">
        <f>2292.27+2501.06</f>
        <v>4793.33</v>
      </c>
      <c r="H56" s="8"/>
      <c r="I56" s="8"/>
      <c r="J56" s="8"/>
      <c r="K56" s="8"/>
      <c r="L56" s="8"/>
      <c r="M56" s="8"/>
      <c r="N56" s="8"/>
      <c r="O56" s="9">
        <f t="shared" si="1"/>
        <v>370537.2300000001</v>
      </c>
    </row>
    <row r="57" spans="1:15" ht="17.100000000000001" customHeight="1" x14ac:dyDescent="0.25">
      <c r="A57" s="6" t="s">
        <v>122</v>
      </c>
      <c r="B57" s="7" t="s">
        <v>123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9">
        <f t="shared" si="1"/>
        <v>0</v>
      </c>
    </row>
    <row r="58" spans="1:15" ht="17.100000000000001" customHeight="1" x14ac:dyDescent="0.25">
      <c r="A58" s="10" t="s">
        <v>124</v>
      </c>
      <c r="B58" s="11" t="s">
        <v>125</v>
      </c>
      <c r="C58" s="4">
        <f>SUM(C59:C61)</f>
        <v>17519</v>
      </c>
      <c r="D58" s="4">
        <f t="shared" ref="D58:M58" si="19">SUM(D59:D61)</f>
        <v>11137</v>
      </c>
      <c r="E58" s="4">
        <f t="shared" si="19"/>
        <v>19557</v>
      </c>
      <c r="F58" s="4">
        <f>SUM(F59:F61)</f>
        <v>13045</v>
      </c>
      <c r="G58" s="4">
        <f>SUM(G59:G61)</f>
        <v>16648</v>
      </c>
      <c r="H58" s="4">
        <f t="shared" si="19"/>
        <v>0</v>
      </c>
      <c r="I58" s="4">
        <f t="shared" si="19"/>
        <v>0</v>
      </c>
      <c r="J58" s="4">
        <f>SUM(J59:J61)</f>
        <v>0</v>
      </c>
      <c r="K58" s="4">
        <f t="shared" si="19"/>
        <v>0</v>
      </c>
      <c r="L58" s="4">
        <f>SUM(L59:L61)</f>
        <v>0</v>
      </c>
      <c r="M58" s="4">
        <f t="shared" si="19"/>
        <v>0</v>
      </c>
      <c r="N58" s="4">
        <f>SUM(N59:N61)</f>
        <v>0</v>
      </c>
      <c r="O58" s="5">
        <f t="shared" si="1"/>
        <v>77906</v>
      </c>
    </row>
    <row r="59" spans="1:15" ht="17.100000000000001" customHeight="1" x14ac:dyDescent="0.25">
      <c r="A59" s="6" t="s">
        <v>126</v>
      </c>
      <c r="B59" s="7" t="s">
        <v>127</v>
      </c>
      <c r="C59" s="8">
        <f>1888+606+1190+534+72+72+760+154+82+452+82+861+308+944</f>
        <v>8005</v>
      </c>
      <c r="D59" s="8">
        <f>410+1479+421+287+574+339+462+123+195+534+236</f>
        <v>5060</v>
      </c>
      <c r="E59" s="8">
        <f>452+226+493+574+1682+72+72+2660+123+719+1335</f>
        <v>8408</v>
      </c>
      <c r="F59" s="8">
        <f>123+1140+1611+72+1796+719+164</f>
        <v>5625</v>
      </c>
      <c r="G59" s="8">
        <f>719+1847+308+1528+123+375+1396+123+123+996+144+421</f>
        <v>8103</v>
      </c>
      <c r="H59" s="8"/>
      <c r="I59" s="8"/>
      <c r="J59" s="8"/>
      <c r="K59" s="8"/>
      <c r="L59" s="8"/>
      <c r="M59" s="8"/>
      <c r="N59" s="8"/>
      <c r="O59" s="9">
        <f t="shared" si="1"/>
        <v>35201</v>
      </c>
    </row>
    <row r="60" spans="1:15" ht="17.100000000000001" customHeight="1" x14ac:dyDescent="0.25">
      <c r="A60" s="6" t="s">
        <v>128</v>
      </c>
      <c r="B60" s="7" t="s">
        <v>129</v>
      </c>
      <c r="C60" s="8">
        <f>84+105+84+84+21+21+126+21+84+156+42+84</f>
        <v>912</v>
      </c>
      <c r="D60" s="8">
        <f>252+63+63+63+21+84+21</f>
        <v>567</v>
      </c>
      <c r="E60" s="8">
        <f>84+42+84+84+21+21+441+126+210</f>
        <v>1113</v>
      </c>
      <c r="F60" s="8">
        <f>189+147+21+189+126</f>
        <v>672</v>
      </c>
      <c r="G60" s="8">
        <f>126+168+42+63+168+147+42+63</f>
        <v>819</v>
      </c>
      <c r="H60" s="8"/>
      <c r="I60" s="8"/>
      <c r="J60" s="8"/>
      <c r="K60" s="8"/>
      <c r="L60" s="8"/>
      <c r="M60" s="8"/>
      <c r="N60" s="8"/>
      <c r="O60" s="9">
        <f t="shared" si="1"/>
        <v>4083</v>
      </c>
    </row>
    <row r="61" spans="1:15" ht="17.100000000000001" customHeight="1" x14ac:dyDescent="0.25">
      <c r="A61" s="6" t="s">
        <v>130</v>
      </c>
      <c r="B61" s="7" t="s">
        <v>131</v>
      </c>
      <c r="C61" s="8">
        <f>2528+822+1552+668+102+102+716+564+104+204+1240</f>
        <v>8602</v>
      </c>
      <c r="D61" s="8">
        <f>520+2004+462+364+306+618+156+258+720+102</f>
        <v>5510</v>
      </c>
      <c r="E61" s="8">
        <f>616+204+616+2176+102+3390+156+976+1800</f>
        <v>10036</v>
      </c>
      <c r="F61" s="8">
        <f>1334+2118+102+2374+820</f>
        <v>6748</v>
      </c>
      <c r="G61" s="8">
        <f>872+2428+204+514+156+1648+1338+566</f>
        <v>7726</v>
      </c>
      <c r="H61" s="8"/>
      <c r="I61" s="8"/>
      <c r="J61" s="8"/>
      <c r="K61" s="8"/>
      <c r="L61" s="8"/>
      <c r="M61" s="8"/>
      <c r="N61" s="8"/>
      <c r="O61" s="9">
        <f t="shared" si="1"/>
        <v>38622</v>
      </c>
    </row>
    <row r="62" spans="1:15" ht="17.100000000000001" customHeight="1" x14ac:dyDescent="0.25">
      <c r="A62" s="10" t="s">
        <v>132</v>
      </c>
      <c r="B62" s="11" t="s">
        <v>133</v>
      </c>
      <c r="C62" s="4">
        <f>SUM(C63:C65)</f>
        <v>3034</v>
      </c>
      <c r="D62" s="4">
        <f t="shared" ref="D62:M62" si="20">SUM(D63:D65)</f>
        <v>6332</v>
      </c>
      <c r="E62" s="4">
        <f>SUM(E63:E65)</f>
        <v>4048</v>
      </c>
      <c r="F62" s="4">
        <f>SUM(F63:F65)</f>
        <v>2214</v>
      </c>
      <c r="G62" s="4">
        <f>SUM(G63:G65)</f>
        <v>2274</v>
      </c>
      <c r="H62" s="4">
        <f t="shared" si="20"/>
        <v>0</v>
      </c>
      <c r="I62" s="4">
        <f t="shared" si="20"/>
        <v>0</v>
      </c>
      <c r="J62" s="4">
        <f>SUM(J63:J65)</f>
        <v>0</v>
      </c>
      <c r="K62" s="4">
        <f t="shared" si="20"/>
        <v>0</v>
      </c>
      <c r="L62" s="4">
        <f>SUM(L63:L65)</f>
        <v>0</v>
      </c>
      <c r="M62" s="4">
        <f t="shared" si="20"/>
        <v>0</v>
      </c>
      <c r="N62" s="4">
        <f>SUM(N63:N65)</f>
        <v>0</v>
      </c>
      <c r="O62" s="5">
        <f t="shared" si="1"/>
        <v>17902</v>
      </c>
    </row>
    <row r="63" spans="1:15" ht="17.100000000000001" customHeight="1" x14ac:dyDescent="0.25">
      <c r="A63" s="6" t="s">
        <v>134</v>
      </c>
      <c r="B63" s="7" t="s">
        <v>135</v>
      </c>
      <c r="C63" s="8">
        <f>126+381+63+189+126+63+126+63+126</f>
        <v>1263</v>
      </c>
      <c r="D63" s="8">
        <f>318+126+63+63+63+699+318+63+381+126+381+189</f>
        <v>2790</v>
      </c>
      <c r="E63" s="8">
        <f>63+126+63+381+63+63+63+63+189+444</f>
        <v>1518</v>
      </c>
      <c r="F63" s="8">
        <f>63+63+63+63+126+318</f>
        <v>696</v>
      </c>
      <c r="G63" s="8">
        <f>63+63+63+63+126+126+126+126</f>
        <v>756</v>
      </c>
      <c r="H63" s="8"/>
      <c r="I63" s="8"/>
      <c r="J63" s="8"/>
      <c r="K63" s="8"/>
      <c r="L63" s="8"/>
      <c r="M63" s="8"/>
      <c r="N63" s="8"/>
      <c r="O63" s="9">
        <f t="shared" si="1"/>
        <v>7023</v>
      </c>
    </row>
    <row r="64" spans="1:15" ht="17.100000000000001" customHeight="1" x14ac:dyDescent="0.25">
      <c r="A64" s="6" t="s">
        <v>136</v>
      </c>
      <c r="B64" s="7" t="s">
        <v>137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9">
        <f t="shared" si="1"/>
        <v>0</v>
      </c>
    </row>
    <row r="65" spans="1:15" ht="17.100000000000001" customHeight="1" x14ac:dyDescent="0.25">
      <c r="A65" s="6" t="s">
        <v>138</v>
      </c>
      <c r="B65" s="7" t="s">
        <v>139</v>
      </c>
      <c r="C65" s="8">
        <f>506+506+253+506</f>
        <v>1771</v>
      </c>
      <c r="D65" s="8">
        <f>759+1012+253+506+253+759</f>
        <v>3542</v>
      </c>
      <c r="E65" s="8">
        <f>506+253+506+253+506+253+253</f>
        <v>2530</v>
      </c>
      <c r="F65" s="8">
        <f>759+506+253</f>
        <v>1518</v>
      </c>
      <c r="G65" s="8">
        <f>253+1265</f>
        <v>1518</v>
      </c>
      <c r="H65" s="8"/>
      <c r="I65" s="8"/>
      <c r="J65" s="8"/>
      <c r="K65" s="8"/>
      <c r="L65" s="8"/>
      <c r="M65" s="8"/>
      <c r="N65" s="8"/>
      <c r="O65" s="9">
        <f t="shared" si="1"/>
        <v>10879</v>
      </c>
    </row>
    <row r="66" spans="1:15" ht="17.100000000000001" customHeight="1" x14ac:dyDescent="0.25">
      <c r="A66" s="10" t="s">
        <v>140</v>
      </c>
      <c r="B66" s="11" t="s">
        <v>141</v>
      </c>
      <c r="C66" s="4">
        <f>SUM(C67:C68)</f>
        <v>92221</v>
      </c>
      <c r="D66" s="4">
        <f t="shared" ref="D66:K66" si="21">SUM(D67:D68)</f>
        <v>64486.6</v>
      </c>
      <c r="E66" s="4">
        <f>SUM(E67:E68)</f>
        <v>68708</v>
      </c>
      <c r="F66" s="4">
        <f>SUM(F67:F68)</f>
        <v>49411</v>
      </c>
      <c r="G66" s="4">
        <f>SUM(G67:G68)</f>
        <v>59457</v>
      </c>
      <c r="H66" s="4">
        <f t="shared" si="21"/>
        <v>0</v>
      </c>
      <c r="I66" s="4">
        <f t="shared" si="21"/>
        <v>0</v>
      </c>
      <c r="J66" s="4">
        <f>SUM(J67:J68)</f>
        <v>0</v>
      </c>
      <c r="K66" s="4">
        <f t="shared" si="21"/>
        <v>0</v>
      </c>
      <c r="L66" s="4">
        <f>SUM(L67:L68)</f>
        <v>0</v>
      </c>
      <c r="M66" s="4">
        <f>SUM(M67:M68)</f>
        <v>0</v>
      </c>
      <c r="N66" s="4">
        <f>SUM(N67:N68)</f>
        <v>0</v>
      </c>
      <c r="O66" s="5">
        <f t="shared" si="1"/>
        <v>334283.59999999998</v>
      </c>
    </row>
    <row r="67" spans="1:15" ht="17.100000000000001" customHeight="1" x14ac:dyDescent="0.25">
      <c r="A67" s="6" t="s">
        <v>142</v>
      </c>
      <c r="B67" s="7" t="s">
        <v>143</v>
      </c>
      <c r="C67" s="8">
        <f>63+63+252+315+126+126+63+63+63+126+189+126+63+63+40+146+63+63+126</f>
        <v>2139</v>
      </c>
      <c r="D67" s="8">
        <f>63+20+83+83+63+63+126+126+63+126+63+126</f>
        <v>1005</v>
      </c>
      <c r="E67" s="8">
        <f>63+126+126+315+63+315+83+40+63+189+189+146+378+189+126+126+126</f>
        <v>2663</v>
      </c>
      <c r="F67" s="8">
        <f>63+63+63+189+63+63+272+126+63+126+63+126+126</f>
        <v>1406</v>
      </c>
      <c r="G67" s="8">
        <f>252+63+189+63+63+63+252+63+118+63+126+63+126+63</f>
        <v>1567</v>
      </c>
      <c r="H67" s="8"/>
      <c r="I67" s="8"/>
      <c r="J67" s="8"/>
      <c r="K67" s="8"/>
      <c r="L67" s="8"/>
      <c r="M67" s="8"/>
      <c r="N67" s="8"/>
      <c r="O67" s="9">
        <f t="shared" si="1"/>
        <v>8780</v>
      </c>
    </row>
    <row r="68" spans="1:15" ht="17.100000000000001" customHeight="1" x14ac:dyDescent="0.25">
      <c r="A68" s="6" t="s">
        <v>144</v>
      </c>
      <c r="B68" s="7" t="s">
        <v>145</v>
      </c>
      <c r="C68" s="8">
        <f>3638+4369+4725+4515+3815+3465+5285+2170+4550+4270+5145+1295+6160+3080+3395+2450+3710+4480+4235+6615+5005+3710</f>
        <v>90082</v>
      </c>
      <c r="D68" s="8">
        <f>4165+2695+1785+4480+2835+3500+2905+2415+2751+4620+2275+3780+4480+2205+2380+3990+2725.6+4315+5180</f>
        <v>63481.599999999999</v>
      </c>
      <c r="E68" s="8">
        <f>2905+5110+1190+4095+4095+3500+1995+3115+2975+3080+2065+1995+2275+1785+3500+3220+2415+4025+3675+3605+2590+2835</f>
        <v>66045</v>
      </c>
      <c r="F68" s="8">
        <f>2625+2905+1330+4060+4200+2303+1085+840+5295+4340+2940+1995+2310+3080+2240+1190+1487+3780</f>
        <v>48005</v>
      </c>
      <c r="G68" s="8">
        <f>2975+4480+2415+4445+2380+770+3150+1505+3150+2625+2870+3395+3220+2205+4760+1715+2275+1995+2590+3605+1365</f>
        <v>57890</v>
      </c>
      <c r="H68" s="8"/>
      <c r="I68" s="8"/>
      <c r="J68" s="8"/>
      <c r="K68" s="8"/>
      <c r="L68" s="8"/>
      <c r="M68" s="8"/>
      <c r="N68" s="8"/>
      <c r="O68" s="9">
        <f t="shared" si="1"/>
        <v>325503.59999999998</v>
      </c>
    </row>
    <row r="69" spans="1:15" ht="17.100000000000001" customHeight="1" x14ac:dyDescent="0.25">
      <c r="A69" s="15" t="s">
        <v>146</v>
      </c>
      <c r="B69" s="16" t="s">
        <v>147</v>
      </c>
      <c r="C69" s="4">
        <f>C70</f>
        <v>0</v>
      </c>
      <c r="D69" s="4">
        <f t="shared" ref="D69:M69" si="22">D70</f>
        <v>0</v>
      </c>
      <c r="E69" s="4">
        <f t="shared" si="22"/>
        <v>0</v>
      </c>
      <c r="F69" s="4">
        <f t="shared" si="22"/>
        <v>0</v>
      </c>
      <c r="G69" s="4">
        <f t="shared" si="22"/>
        <v>0</v>
      </c>
      <c r="H69" s="4">
        <f t="shared" si="22"/>
        <v>0</v>
      </c>
      <c r="I69" s="4">
        <f t="shared" si="22"/>
        <v>0</v>
      </c>
      <c r="J69" s="4">
        <f t="shared" si="22"/>
        <v>0</v>
      </c>
      <c r="K69" s="4">
        <f>K70</f>
        <v>0</v>
      </c>
      <c r="L69" s="4">
        <f t="shared" si="22"/>
        <v>0</v>
      </c>
      <c r="M69" s="4">
        <f t="shared" si="22"/>
        <v>0</v>
      </c>
      <c r="N69" s="4">
        <f>N70</f>
        <v>0</v>
      </c>
      <c r="O69" s="5">
        <f t="shared" si="1"/>
        <v>0</v>
      </c>
    </row>
    <row r="70" spans="1:15" ht="17.100000000000001" customHeight="1" x14ac:dyDescent="0.25">
      <c r="A70" s="6" t="s">
        <v>148</v>
      </c>
      <c r="B70" s="7" t="s">
        <v>149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9">
        <f t="shared" si="1"/>
        <v>0</v>
      </c>
    </row>
    <row r="71" spans="1:15" ht="17.100000000000001" customHeight="1" x14ac:dyDescent="0.25">
      <c r="A71" s="10" t="s">
        <v>150</v>
      </c>
      <c r="B71" s="11" t="s">
        <v>151</v>
      </c>
      <c r="C71" s="4">
        <f>SUM(C72:C73)</f>
        <v>8430</v>
      </c>
      <c r="D71" s="4">
        <f t="shared" ref="D71:M71" si="23">SUM(D72:D73)</f>
        <v>11372</v>
      </c>
      <c r="E71" s="4">
        <f>SUM(E72:E73)</f>
        <v>12290</v>
      </c>
      <c r="F71" s="4">
        <f>SUM(F72:F73)</f>
        <v>4984</v>
      </c>
      <c r="G71" s="4">
        <f t="shared" si="23"/>
        <v>11996</v>
      </c>
      <c r="H71" s="4">
        <f>SUM(H72:H73)</f>
        <v>0</v>
      </c>
      <c r="I71" s="4">
        <f t="shared" si="23"/>
        <v>0</v>
      </c>
      <c r="J71" s="4">
        <f>SUM(J72:J73)</f>
        <v>0</v>
      </c>
      <c r="K71" s="4">
        <f t="shared" si="23"/>
        <v>0</v>
      </c>
      <c r="L71" s="4">
        <f>SUM(L72:L73)</f>
        <v>0</v>
      </c>
      <c r="M71" s="4">
        <f t="shared" si="23"/>
        <v>0</v>
      </c>
      <c r="N71" s="4">
        <f>SUM(N72:N73)</f>
        <v>0</v>
      </c>
      <c r="O71" s="5">
        <f t="shared" si="1"/>
        <v>49072</v>
      </c>
    </row>
    <row r="72" spans="1:15" ht="17.100000000000001" customHeight="1" x14ac:dyDescent="0.25">
      <c r="A72" s="6" t="s">
        <v>152</v>
      </c>
      <c r="B72" s="7" t="s">
        <v>153</v>
      </c>
      <c r="C72" s="8">
        <f>306+112+112+612+336+56+460+168+224+168+168+236+56+668+112</f>
        <v>3794</v>
      </c>
      <c r="D72" s="8">
        <f>550+412+306+56+862+1112+224+56+224+168+112+406+1362+56+474</f>
        <v>6380</v>
      </c>
      <c r="E72" s="8">
        <f>56+56+1156+168+112+312+250+56+56+306+168+224+112+356+392+224</f>
        <v>4004</v>
      </c>
      <c r="F72" s="8">
        <f>224+56+112+56+168+112+550+56+224+306</f>
        <v>1864</v>
      </c>
      <c r="G72" s="8">
        <f>810+168+56+1030+224+56+616+168+600+468+168+56+1024</f>
        <v>5444</v>
      </c>
      <c r="H72" s="8"/>
      <c r="I72" s="8"/>
      <c r="J72" s="8"/>
      <c r="K72" s="8"/>
      <c r="L72" s="8"/>
      <c r="M72" s="8"/>
      <c r="N72" s="8"/>
      <c r="O72" s="9">
        <f t="shared" si="1"/>
        <v>21486</v>
      </c>
    </row>
    <row r="73" spans="1:15" ht="17.100000000000001" customHeight="1" x14ac:dyDescent="0.25">
      <c r="A73" s="6" t="s">
        <v>154</v>
      </c>
      <c r="B73" s="7" t="s">
        <v>155</v>
      </c>
      <c r="C73" s="8">
        <f>570+729+156+1309+468+312+156+312+624</f>
        <v>4636</v>
      </c>
      <c r="D73" s="8">
        <f>312+1248+156+312+624+156+1092+468+156+156+156+156</f>
        <v>4992</v>
      </c>
      <c r="E73" s="8">
        <f>698+1248+312+312+312+156+156+780+468+468+2284+156+156+312+468</f>
        <v>8286</v>
      </c>
      <c r="F73" s="8">
        <f>2652+312+156</f>
        <v>3120</v>
      </c>
      <c r="G73" s="8">
        <f>1716+1560+312+156+156+156+156+2184+156</f>
        <v>6552</v>
      </c>
      <c r="H73" s="8"/>
      <c r="I73" s="8"/>
      <c r="J73" s="8"/>
      <c r="K73" s="8"/>
      <c r="L73" s="8"/>
      <c r="M73" s="8"/>
      <c r="N73" s="8"/>
      <c r="O73" s="9">
        <f>SUM(C73:N73)</f>
        <v>27586</v>
      </c>
    </row>
    <row r="74" spans="1:15" ht="17.100000000000001" customHeight="1" x14ac:dyDescent="0.25">
      <c r="A74" s="10" t="s">
        <v>156</v>
      </c>
      <c r="B74" s="11" t="s">
        <v>42</v>
      </c>
      <c r="C74" s="4">
        <f>C75+C76</f>
        <v>15131.449999999997</v>
      </c>
      <c r="D74" s="4">
        <f t="shared" ref="D74:N74" si="24">D75+D76</f>
        <v>7867.0000000000009</v>
      </c>
      <c r="E74" s="4">
        <f t="shared" si="24"/>
        <v>10800.849999999999</v>
      </c>
      <c r="F74" s="4">
        <f>F75+F76</f>
        <v>2905.21</v>
      </c>
      <c r="G74" s="4">
        <f t="shared" si="24"/>
        <v>2523.4700000000003</v>
      </c>
      <c r="H74" s="4">
        <f t="shared" si="24"/>
        <v>0</v>
      </c>
      <c r="I74" s="4">
        <f t="shared" si="24"/>
        <v>0</v>
      </c>
      <c r="J74" s="4">
        <f t="shared" si="24"/>
        <v>0</v>
      </c>
      <c r="K74" s="4">
        <f t="shared" si="24"/>
        <v>0</v>
      </c>
      <c r="L74" s="4">
        <f t="shared" si="24"/>
        <v>0</v>
      </c>
      <c r="M74" s="4">
        <f t="shared" si="24"/>
        <v>0</v>
      </c>
      <c r="N74" s="4">
        <f t="shared" si="24"/>
        <v>0</v>
      </c>
      <c r="O74" s="5">
        <f>SUM(C74:N74)</f>
        <v>39227.979999999996</v>
      </c>
    </row>
    <row r="75" spans="1:15" ht="17.100000000000001" customHeight="1" x14ac:dyDescent="0.25">
      <c r="A75" s="13" t="s">
        <v>157</v>
      </c>
      <c r="B75" s="14" t="s">
        <v>158</v>
      </c>
      <c r="C75" s="8">
        <f>24+46+24+54+24</f>
        <v>172</v>
      </c>
      <c r="D75" s="8">
        <f>164+92+107</f>
        <v>363</v>
      </c>
      <c r="E75" s="8">
        <f>24</f>
        <v>24</v>
      </c>
      <c r="F75" s="8">
        <f>92+262</f>
        <v>354</v>
      </c>
      <c r="G75" s="8">
        <f>144</f>
        <v>144</v>
      </c>
      <c r="H75" s="8"/>
      <c r="I75" s="8"/>
      <c r="J75" s="8"/>
      <c r="K75" s="8"/>
      <c r="L75" s="8"/>
      <c r="M75" s="8"/>
      <c r="N75" s="8"/>
      <c r="O75" s="9">
        <f>SUM(C75:N75)</f>
        <v>1057</v>
      </c>
    </row>
    <row r="76" spans="1:15" ht="17.100000000000001" customHeight="1" x14ac:dyDescent="0.25">
      <c r="A76" s="13" t="s">
        <v>159</v>
      </c>
      <c r="B76" s="14" t="s">
        <v>160</v>
      </c>
      <c r="C76" s="8">
        <f>3357.45+117.3+180+90+119.4+598.63+910.2+2950+1415.69+148.8+606.6+36.75+522.9+1284.23+112.06+853.31+830.84+14.7+685.63+124.96</f>
        <v>14959.449999999997</v>
      </c>
      <c r="D76" s="8">
        <f>44.1+82.4+36.75+51.45+508.2+3015.07+530.7+683.55+437.23+80.85+29.4+994.05+110.25+567+333</f>
        <v>7504.0000000000009</v>
      </c>
      <c r="E76" s="8">
        <f>22.05+337.4+114.99+1347.31+886.1+2437.27+5631.73</f>
        <v>10776.849999999999</v>
      </c>
      <c r="F76" s="8">
        <f>765.41+1785.8</f>
        <v>2551.21</v>
      </c>
      <c r="G76" s="8">
        <f>1142.18+1237.29</f>
        <v>2379.4700000000003</v>
      </c>
      <c r="H76" s="8"/>
      <c r="I76" s="8"/>
      <c r="J76" s="8"/>
      <c r="K76" s="8"/>
      <c r="L76" s="8"/>
      <c r="M76" s="8"/>
      <c r="N76" s="8"/>
      <c r="O76" s="9"/>
    </row>
    <row r="77" spans="1:15" ht="17.100000000000001" customHeight="1" x14ac:dyDescent="0.25">
      <c r="A77" s="15" t="s">
        <v>161</v>
      </c>
      <c r="B77" s="16" t="s">
        <v>46</v>
      </c>
      <c r="C77" s="4">
        <f>C78+C79</f>
        <v>297</v>
      </c>
      <c r="D77" s="4">
        <f t="shared" ref="D77:N77" si="25">D78+D79</f>
        <v>507</v>
      </c>
      <c r="E77" s="4">
        <f t="shared" si="25"/>
        <v>60</v>
      </c>
      <c r="F77" s="4">
        <f>F78+F79</f>
        <v>234</v>
      </c>
      <c r="G77" s="4">
        <f t="shared" si="25"/>
        <v>367</v>
      </c>
      <c r="H77" s="4">
        <f t="shared" si="25"/>
        <v>0</v>
      </c>
      <c r="I77" s="4">
        <f t="shared" si="25"/>
        <v>0</v>
      </c>
      <c r="J77" s="4">
        <f t="shared" si="25"/>
        <v>0</v>
      </c>
      <c r="K77" s="4">
        <f t="shared" si="25"/>
        <v>0</v>
      </c>
      <c r="L77" s="4">
        <f t="shared" si="25"/>
        <v>0</v>
      </c>
      <c r="M77" s="4">
        <f t="shared" si="25"/>
        <v>0</v>
      </c>
      <c r="N77" s="4">
        <f t="shared" si="25"/>
        <v>0</v>
      </c>
      <c r="O77" s="5">
        <f>SUM(C77:N77)</f>
        <v>1465</v>
      </c>
    </row>
    <row r="78" spans="1:15" ht="17.100000000000001" customHeight="1" x14ac:dyDescent="0.25">
      <c r="A78" s="13" t="s">
        <v>162</v>
      </c>
      <c r="B78" s="14" t="s">
        <v>163</v>
      </c>
      <c r="C78" s="8">
        <f>60+117+60+60</f>
        <v>297</v>
      </c>
      <c r="D78" s="8">
        <f>234+273</f>
        <v>507</v>
      </c>
      <c r="E78" s="8">
        <f>60</f>
        <v>60</v>
      </c>
      <c r="F78" s="8">
        <f>234</f>
        <v>234</v>
      </c>
      <c r="G78" s="8">
        <f>367</f>
        <v>367</v>
      </c>
      <c r="H78" s="8"/>
      <c r="I78" s="8"/>
      <c r="J78" s="8"/>
      <c r="K78" s="8"/>
      <c r="L78" s="8"/>
      <c r="M78" s="8"/>
      <c r="N78" s="8"/>
      <c r="O78" s="9">
        <f>SUM(C78:N78)</f>
        <v>1465</v>
      </c>
    </row>
    <row r="79" spans="1:15" ht="17.100000000000001" customHeight="1" x14ac:dyDescent="0.25">
      <c r="A79" s="13" t="s">
        <v>164</v>
      </c>
      <c r="B79" s="14" t="s">
        <v>165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9"/>
    </row>
    <row r="80" spans="1:15" ht="17.100000000000001" customHeight="1" x14ac:dyDescent="0.25">
      <c r="A80" s="10" t="s">
        <v>166</v>
      </c>
      <c r="B80" s="11" t="s">
        <v>167</v>
      </c>
      <c r="C80" s="4">
        <f>C81</f>
        <v>980</v>
      </c>
      <c r="D80" s="4">
        <f t="shared" ref="D80:M80" si="26">D81</f>
        <v>560</v>
      </c>
      <c r="E80" s="4">
        <f t="shared" si="26"/>
        <v>1075</v>
      </c>
      <c r="F80" s="4">
        <f>F81</f>
        <v>50475</v>
      </c>
      <c r="G80" s="4">
        <f>G81</f>
        <v>1005</v>
      </c>
      <c r="H80" s="4">
        <f>H81</f>
        <v>0</v>
      </c>
      <c r="I80" s="4">
        <f t="shared" si="26"/>
        <v>0</v>
      </c>
      <c r="J80" s="4">
        <f>J81</f>
        <v>0</v>
      </c>
      <c r="K80" s="4">
        <f t="shared" si="26"/>
        <v>0</v>
      </c>
      <c r="L80" s="4">
        <f t="shared" si="26"/>
        <v>0</v>
      </c>
      <c r="M80" s="4">
        <f t="shared" si="26"/>
        <v>0</v>
      </c>
      <c r="N80" s="4">
        <f>N81</f>
        <v>0</v>
      </c>
      <c r="O80" s="5">
        <f>SUM(C80:N80)</f>
        <v>54095</v>
      </c>
    </row>
    <row r="81" spans="1:15" ht="17.100000000000001" customHeight="1" x14ac:dyDescent="0.25">
      <c r="A81" s="6" t="s">
        <v>168</v>
      </c>
      <c r="B81" s="7" t="s">
        <v>169</v>
      </c>
      <c r="C81" s="8">
        <f>420+140+140+70+70+70+70</f>
        <v>980</v>
      </c>
      <c r="D81" s="8">
        <f>140+70+70+70+140+70</f>
        <v>560</v>
      </c>
      <c r="E81" s="8">
        <f>75+70+215+140+75+150+70+210+70</f>
        <v>1075</v>
      </c>
      <c r="F81" s="8">
        <f>50000+70+75+70+260</f>
        <v>50475</v>
      </c>
      <c r="G81" s="8">
        <f>215+285+75+140+75+75+140</f>
        <v>1005</v>
      </c>
      <c r="H81" s="8"/>
      <c r="I81" s="8"/>
      <c r="J81" s="8"/>
      <c r="K81" s="8"/>
      <c r="L81" s="8"/>
      <c r="M81" s="8"/>
      <c r="N81" s="8"/>
      <c r="O81" s="9">
        <f>SUM(C81:N81)</f>
        <v>54095</v>
      </c>
    </row>
    <row r="82" spans="1:15" ht="17.100000000000001" customHeight="1" x14ac:dyDescent="0.25">
      <c r="A82" s="10" t="s">
        <v>170</v>
      </c>
      <c r="B82" s="11" t="s">
        <v>46</v>
      </c>
      <c r="C82" s="4">
        <f>C83</f>
        <v>23788.44</v>
      </c>
      <c r="D82" s="4">
        <f t="shared" ref="D82:L82" si="27">D83</f>
        <v>10945.02</v>
      </c>
      <c r="E82" s="4">
        <f t="shared" si="27"/>
        <v>13450.880000000001</v>
      </c>
      <c r="F82" s="4">
        <f>F83</f>
        <v>26838.840000000004</v>
      </c>
      <c r="G82" s="4">
        <f>G83</f>
        <v>22614</v>
      </c>
      <c r="H82" s="4">
        <f>H83</f>
        <v>0</v>
      </c>
      <c r="I82" s="4">
        <f t="shared" si="27"/>
        <v>0</v>
      </c>
      <c r="J82" s="4">
        <f>J83</f>
        <v>0</v>
      </c>
      <c r="K82" s="4">
        <f t="shared" si="27"/>
        <v>0</v>
      </c>
      <c r="L82" s="4">
        <f t="shared" si="27"/>
        <v>0</v>
      </c>
      <c r="M82" s="4">
        <f>M83</f>
        <v>0</v>
      </c>
      <c r="N82" s="4">
        <f>N83</f>
        <v>0</v>
      </c>
      <c r="O82" s="5">
        <f>SUM(C82:N82)</f>
        <v>97637.18</v>
      </c>
    </row>
    <row r="83" spans="1:15" ht="17.100000000000001" customHeight="1" x14ac:dyDescent="0.25">
      <c r="A83" s="6" t="s">
        <v>171</v>
      </c>
      <c r="B83" s="7" t="s">
        <v>46</v>
      </c>
      <c r="C83" s="8">
        <f>576+2730+2356+144+2595+288+288+288+288+2114+769+769+1875+1731+1587+576+625+288+1968+1933.44</f>
        <v>23788.44</v>
      </c>
      <c r="D83" s="8">
        <f>288+144+2182+432+1325.02+288+288+625+339+2093+625+1192+680+392+52</f>
        <v>10945.02</v>
      </c>
      <c r="E83" s="8">
        <f>570+570+1574+196+52+570+570+1244.88+778+1180+570+1036+458+196+1606+1088+570+52+52+518</f>
        <v>13450.880000000001</v>
      </c>
      <c r="F83" s="8">
        <f>2800+2488+1606+933.76+2645+518+2228+778+1852+570+1866+1606+2332+3060.08+518+518+468+52</f>
        <v>26838.840000000004</v>
      </c>
      <c r="G83" s="8">
        <f>3110+518+570+1140+1192+52+1192+778+2126+1814+986+52+1844+2022+830+570+364+1348+1018+1088</f>
        <v>22614</v>
      </c>
      <c r="H83" s="8"/>
      <c r="I83" s="8"/>
      <c r="J83" s="8"/>
      <c r="K83" s="8"/>
      <c r="L83" s="8"/>
      <c r="M83" s="8"/>
      <c r="N83" s="8"/>
      <c r="O83" s="9">
        <f>SUM(C83:N83)</f>
        <v>97637.18</v>
      </c>
    </row>
    <row r="84" spans="1:15" ht="17.100000000000001" customHeight="1" x14ac:dyDescent="0.25">
      <c r="A84" s="10" t="s">
        <v>172</v>
      </c>
      <c r="B84" s="11" t="s">
        <v>173</v>
      </c>
      <c r="C84" s="4">
        <f>C85</f>
        <v>0</v>
      </c>
      <c r="D84" s="4">
        <f t="shared" ref="D84:N84" si="28">D85</f>
        <v>0</v>
      </c>
      <c r="E84" s="4">
        <f t="shared" si="28"/>
        <v>0</v>
      </c>
      <c r="F84" s="4">
        <f>F85</f>
        <v>78182.149999999994</v>
      </c>
      <c r="G84" s="4">
        <f>G85</f>
        <v>0</v>
      </c>
      <c r="H84" s="4">
        <f t="shared" si="28"/>
        <v>0</v>
      </c>
      <c r="I84" s="4">
        <f t="shared" si="28"/>
        <v>0</v>
      </c>
      <c r="J84" s="4">
        <f t="shared" si="28"/>
        <v>0</v>
      </c>
      <c r="K84" s="4">
        <f t="shared" si="28"/>
        <v>0</v>
      </c>
      <c r="L84" s="4">
        <f t="shared" si="28"/>
        <v>0</v>
      </c>
      <c r="M84" s="4">
        <f t="shared" si="28"/>
        <v>0</v>
      </c>
      <c r="N84" s="4">
        <f t="shared" si="28"/>
        <v>0</v>
      </c>
      <c r="O84" s="5">
        <f>SUM(C84:N84)</f>
        <v>78182.149999999994</v>
      </c>
    </row>
    <row r="85" spans="1:15" ht="17.100000000000001" customHeight="1" x14ac:dyDescent="0.25">
      <c r="A85" s="6" t="s">
        <v>174</v>
      </c>
      <c r="B85" s="7" t="s">
        <v>175</v>
      </c>
      <c r="C85" s="8"/>
      <c r="D85" s="8"/>
      <c r="E85" s="8"/>
      <c r="F85" s="8">
        <v>78182.149999999994</v>
      </c>
      <c r="G85" s="8"/>
      <c r="H85" s="8"/>
      <c r="I85" s="8"/>
      <c r="J85" s="8"/>
      <c r="K85" s="8"/>
      <c r="L85" s="8"/>
      <c r="M85" s="8"/>
      <c r="N85" s="8"/>
      <c r="O85" s="9"/>
    </row>
    <row r="86" spans="1:15" ht="17.100000000000001" customHeight="1" x14ac:dyDescent="0.25">
      <c r="A86" s="10" t="s">
        <v>176</v>
      </c>
      <c r="B86" s="11" t="s">
        <v>177</v>
      </c>
      <c r="C86" s="4">
        <f>SUM(C87:C98)</f>
        <v>6346384.1100000013</v>
      </c>
      <c r="D86" s="4">
        <f t="shared" ref="D86:N86" si="29">SUM(D87:D98)</f>
        <v>6656397.8099999996</v>
      </c>
      <c r="E86" s="4">
        <f>SUM(E87:E98)</f>
        <v>9250469.7899999991</v>
      </c>
      <c r="F86" s="4">
        <f>SUM(F87:F98)</f>
        <v>5854535</v>
      </c>
      <c r="G86" s="4">
        <f>SUM(G87:G98)</f>
        <v>7929264.5300000003</v>
      </c>
      <c r="H86" s="4">
        <f t="shared" si="29"/>
        <v>0</v>
      </c>
      <c r="I86" s="4">
        <f t="shared" si="29"/>
        <v>0</v>
      </c>
      <c r="J86" s="4">
        <f t="shared" si="29"/>
        <v>0</v>
      </c>
      <c r="K86" s="4">
        <f t="shared" si="29"/>
        <v>0</v>
      </c>
      <c r="L86" s="4">
        <f t="shared" si="29"/>
        <v>0</v>
      </c>
      <c r="M86" s="4">
        <f t="shared" si="29"/>
        <v>0</v>
      </c>
      <c r="N86" s="4">
        <f t="shared" si="29"/>
        <v>0</v>
      </c>
      <c r="O86" s="5">
        <f>SUM(C86:N86)</f>
        <v>36037051.240000002</v>
      </c>
    </row>
    <row r="87" spans="1:15" ht="17.100000000000001" customHeight="1" x14ac:dyDescent="0.25">
      <c r="A87" s="17" t="s">
        <v>178</v>
      </c>
      <c r="B87" s="18" t="s">
        <v>179</v>
      </c>
      <c r="C87" s="8">
        <f>3878461.89</f>
        <v>3878461.89</v>
      </c>
      <c r="D87" s="8">
        <f>4022367.74</f>
        <v>4022367.74</v>
      </c>
      <c r="E87" s="8">
        <f>5241488.42</f>
        <v>5241488.42</v>
      </c>
      <c r="F87" s="8">
        <f>3611155.61</f>
        <v>3611155.61</v>
      </c>
      <c r="G87" s="8">
        <v>4971695.1900000004</v>
      </c>
      <c r="H87" s="8"/>
      <c r="I87" s="8"/>
      <c r="J87" s="8"/>
      <c r="K87" s="8"/>
      <c r="L87" s="8"/>
      <c r="M87" s="8"/>
      <c r="N87" s="8"/>
      <c r="O87" s="9">
        <f>SUM(C87:N87)</f>
        <v>21725168.850000001</v>
      </c>
    </row>
    <row r="88" spans="1:15" ht="17.100000000000001" customHeight="1" x14ac:dyDescent="0.25">
      <c r="A88" s="19" t="s">
        <v>180</v>
      </c>
      <c r="B88" s="20" t="s">
        <v>181</v>
      </c>
      <c r="C88" s="8">
        <v>2045380.24</v>
      </c>
      <c r="D88" s="8">
        <f>1679651.1</f>
        <v>1679651.1</v>
      </c>
      <c r="E88" s="8">
        <f>2556812.39</f>
        <v>2556812.39</v>
      </c>
      <c r="F88" s="8">
        <f>1438305.14</f>
        <v>1438305.14</v>
      </c>
      <c r="G88" s="8">
        <v>2344376.5299999998</v>
      </c>
      <c r="H88" s="8"/>
      <c r="I88" s="8"/>
      <c r="J88" s="8"/>
      <c r="K88" s="8"/>
      <c r="L88" s="8"/>
      <c r="M88" s="8"/>
      <c r="N88" s="8"/>
      <c r="O88" s="9"/>
    </row>
    <row r="89" spans="1:15" ht="17.100000000000001" customHeight="1" x14ac:dyDescent="0.25">
      <c r="A89" s="19" t="s">
        <v>182</v>
      </c>
      <c r="B89" s="20" t="s">
        <v>183</v>
      </c>
      <c r="C89" s="8">
        <f>153709.78</f>
        <v>153709.78</v>
      </c>
      <c r="D89" s="8">
        <f>80307.08</f>
        <v>80307.08</v>
      </c>
      <c r="E89" s="8">
        <f>67919.51</f>
        <v>67919.509999999995</v>
      </c>
      <c r="F89" s="8">
        <f>193309.63</f>
        <v>193309.63</v>
      </c>
      <c r="G89" s="8">
        <f>84393.05</f>
        <v>84393.05</v>
      </c>
      <c r="H89" s="8"/>
      <c r="I89" s="8"/>
      <c r="J89" s="8"/>
      <c r="K89" s="8"/>
      <c r="L89" s="8"/>
      <c r="M89" s="8"/>
      <c r="N89" s="8"/>
      <c r="O89" s="9"/>
    </row>
    <row r="90" spans="1:15" ht="17.100000000000001" customHeight="1" x14ac:dyDescent="0.25">
      <c r="A90" s="19" t="s">
        <v>184</v>
      </c>
      <c r="B90" s="20" t="s">
        <v>185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9"/>
    </row>
    <row r="91" spans="1:15" ht="17.100000000000001" customHeight="1" x14ac:dyDescent="0.25">
      <c r="A91" s="19" t="s">
        <v>186</v>
      </c>
      <c r="B91" s="20" t="s">
        <v>187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9"/>
    </row>
    <row r="92" spans="1:15" ht="17.100000000000001" customHeight="1" x14ac:dyDescent="0.25">
      <c r="A92" s="19" t="s">
        <v>188</v>
      </c>
      <c r="B92" s="20" t="s">
        <v>189</v>
      </c>
      <c r="C92" s="8">
        <f>115639.11</f>
        <v>115639.11</v>
      </c>
      <c r="D92" s="8">
        <f>116489.01</f>
        <v>116489.01</v>
      </c>
      <c r="E92" s="8">
        <f>249468.28</f>
        <v>249468.28</v>
      </c>
      <c r="F92" s="8">
        <f>102391.07</f>
        <v>102391.07</v>
      </c>
      <c r="G92" s="8">
        <v>93577.88</v>
      </c>
      <c r="H92" s="8"/>
      <c r="I92" s="8"/>
      <c r="J92" s="8"/>
      <c r="K92" s="8"/>
      <c r="L92" s="8"/>
      <c r="M92" s="8"/>
      <c r="N92" s="8"/>
      <c r="O92" s="9"/>
    </row>
    <row r="93" spans="1:15" ht="17.100000000000001" customHeight="1" x14ac:dyDescent="0.25">
      <c r="A93" s="19" t="s">
        <v>190</v>
      </c>
      <c r="B93" s="20" t="s">
        <v>191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9"/>
    </row>
    <row r="94" spans="1:15" ht="17.100000000000001" customHeight="1" x14ac:dyDescent="0.25">
      <c r="A94" s="19" t="s">
        <v>192</v>
      </c>
      <c r="B94" s="20" t="s">
        <v>193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9"/>
    </row>
    <row r="95" spans="1:15" ht="17.100000000000001" customHeight="1" x14ac:dyDescent="0.25">
      <c r="A95" s="19" t="s">
        <v>194</v>
      </c>
      <c r="B95" s="20" t="s">
        <v>195</v>
      </c>
      <c r="C95" s="8">
        <f>95773.9</f>
        <v>95773.9</v>
      </c>
      <c r="D95" s="8">
        <f>105927.28</f>
        <v>105927.28</v>
      </c>
      <c r="E95" s="8">
        <f>3873.68+78303.62</f>
        <v>82177.299999999988</v>
      </c>
      <c r="F95" s="8">
        <f>76934.05</f>
        <v>76934.05</v>
      </c>
      <c r="G95" s="8">
        <v>108625.21</v>
      </c>
      <c r="H95" s="8"/>
      <c r="I95" s="8"/>
      <c r="J95" s="8"/>
      <c r="K95" s="8"/>
      <c r="L95" s="8"/>
      <c r="M95" s="8"/>
      <c r="N95" s="8"/>
      <c r="O95" s="9"/>
    </row>
    <row r="96" spans="1:15" ht="17.100000000000001" customHeight="1" x14ac:dyDescent="0.25">
      <c r="A96" s="19" t="s">
        <v>196</v>
      </c>
      <c r="B96" s="20" t="s">
        <v>197</v>
      </c>
      <c r="C96" s="8">
        <f>33737.19</f>
        <v>33737.19</v>
      </c>
      <c r="D96" s="8">
        <f>598418+16773.47</f>
        <v>615191.47</v>
      </c>
      <c r="E96" s="8">
        <f>1009145+15067.69</f>
        <v>1024212.69</v>
      </c>
      <c r="F96" s="8">
        <f>381285+21280.3</f>
        <v>402565.3</v>
      </c>
      <c r="G96" s="8">
        <f>280714+14747.61</f>
        <v>295461.61</v>
      </c>
      <c r="H96" s="8"/>
      <c r="I96" s="8"/>
      <c r="J96" s="8"/>
      <c r="K96" s="8"/>
      <c r="L96" s="8"/>
      <c r="M96" s="8"/>
      <c r="N96" s="8"/>
      <c r="O96" s="9"/>
    </row>
    <row r="97" spans="1:15" ht="17.100000000000001" customHeight="1" x14ac:dyDescent="0.25">
      <c r="A97" s="19" t="s">
        <v>198</v>
      </c>
      <c r="B97" s="20" t="s">
        <v>199</v>
      </c>
      <c r="C97" s="8"/>
      <c r="D97" s="8">
        <f>4.53</f>
        <v>4.53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9"/>
    </row>
    <row r="98" spans="1:15" ht="17.100000000000001" customHeight="1" x14ac:dyDescent="0.25">
      <c r="A98" s="19" t="s">
        <v>200</v>
      </c>
      <c r="B98" s="21" t="s">
        <v>201</v>
      </c>
      <c r="C98" s="8">
        <f>23682</f>
        <v>23682</v>
      </c>
      <c r="D98" s="8">
        <f>36459.6</f>
        <v>36459.599999999999</v>
      </c>
      <c r="E98" s="8">
        <f>28391.2</f>
        <v>28391.200000000001</v>
      </c>
      <c r="F98" s="8">
        <f>29874.2</f>
        <v>29874.2</v>
      </c>
      <c r="G98" s="8">
        <f>31135.06</f>
        <v>31135.06</v>
      </c>
      <c r="H98" s="8"/>
      <c r="I98" s="8"/>
      <c r="J98" s="8"/>
      <c r="K98" s="8"/>
      <c r="L98" s="8"/>
      <c r="M98" s="8"/>
      <c r="N98" s="8"/>
      <c r="O98" s="9"/>
    </row>
    <row r="99" spans="1:15" ht="17.100000000000001" customHeight="1" x14ac:dyDescent="0.25">
      <c r="A99" s="10" t="s">
        <v>202</v>
      </c>
      <c r="B99" s="11" t="s">
        <v>203</v>
      </c>
      <c r="C99" s="4">
        <f>SUM(C100:C101)</f>
        <v>3056364.85</v>
      </c>
      <c r="D99" s="4">
        <f t="shared" ref="D99:N99" si="30">SUM(D100:D101)</f>
        <v>3056364.85</v>
      </c>
      <c r="E99" s="4">
        <f>SUM(E100:E101)</f>
        <v>3056364.85</v>
      </c>
      <c r="F99" s="4">
        <f>SUM(F100:F101)</f>
        <v>3056364.85</v>
      </c>
      <c r="G99" s="4">
        <f>SUM(G100:G101)</f>
        <v>3056364.85</v>
      </c>
      <c r="H99" s="4">
        <f t="shared" si="30"/>
        <v>0</v>
      </c>
      <c r="I99" s="4">
        <f t="shared" si="30"/>
        <v>0</v>
      </c>
      <c r="J99" s="4">
        <f t="shared" si="30"/>
        <v>0</v>
      </c>
      <c r="K99" s="4">
        <f t="shared" si="30"/>
        <v>0</v>
      </c>
      <c r="L99" s="4">
        <f t="shared" si="30"/>
        <v>0</v>
      </c>
      <c r="M99" s="4">
        <f t="shared" si="30"/>
        <v>0</v>
      </c>
      <c r="N99" s="4">
        <f t="shared" si="30"/>
        <v>0</v>
      </c>
      <c r="O99" s="5">
        <f>SUM(C99:N99)</f>
        <v>15281824.25</v>
      </c>
    </row>
    <row r="100" spans="1:15" ht="17.100000000000001" customHeight="1" x14ac:dyDescent="0.25">
      <c r="A100" s="6" t="s">
        <v>204</v>
      </c>
      <c r="B100" s="7" t="s">
        <v>205</v>
      </c>
      <c r="C100" s="8">
        <v>1814476.1</v>
      </c>
      <c r="D100" s="8">
        <f>1814476.1</f>
        <v>1814476.1</v>
      </c>
      <c r="E100" s="8">
        <v>1814476.1</v>
      </c>
      <c r="F100" s="8">
        <f>1814476.1</f>
        <v>1814476.1</v>
      </c>
      <c r="G100" s="8">
        <v>1814476.1</v>
      </c>
      <c r="H100" s="8"/>
      <c r="I100" s="8"/>
      <c r="J100" s="8"/>
      <c r="K100" s="8"/>
      <c r="L100" s="8"/>
      <c r="M100" s="8"/>
      <c r="N100" s="8"/>
      <c r="O100" s="9">
        <f>SUM(C100:N100)</f>
        <v>9072380.5</v>
      </c>
    </row>
    <row r="101" spans="1:15" ht="17.100000000000001" customHeight="1" x14ac:dyDescent="0.25">
      <c r="A101" s="6" t="s">
        <v>206</v>
      </c>
      <c r="B101" s="7" t="s">
        <v>207</v>
      </c>
      <c r="C101" s="8">
        <v>1241888.75</v>
      </c>
      <c r="D101" s="8">
        <f>1241888.75</f>
        <v>1241888.75</v>
      </c>
      <c r="E101" s="8">
        <v>1241888.75</v>
      </c>
      <c r="F101" s="8">
        <f>1241888.75</f>
        <v>1241888.75</v>
      </c>
      <c r="G101" s="8">
        <v>1241888.75</v>
      </c>
      <c r="H101" s="8"/>
      <c r="I101" s="8"/>
      <c r="J101" s="8"/>
      <c r="K101" s="8"/>
      <c r="L101" s="8"/>
      <c r="M101" s="8"/>
      <c r="N101" s="8"/>
      <c r="O101" s="9">
        <f>SUM(C101:N101)</f>
        <v>6209443.75</v>
      </c>
    </row>
    <row r="102" spans="1:15" ht="17.100000000000001" customHeight="1" x14ac:dyDescent="0.25">
      <c r="A102" s="22" t="s">
        <v>208</v>
      </c>
      <c r="B102" s="23" t="s">
        <v>209</v>
      </c>
      <c r="C102" s="4">
        <f>SUM(C103:C119)</f>
        <v>1112829.31</v>
      </c>
      <c r="D102" s="4">
        <f>SUM(D103:D119)</f>
        <v>164751.91999999998</v>
      </c>
      <c r="E102" s="4">
        <f>SUM(E103:E119)</f>
        <v>155417.04999999999</v>
      </c>
      <c r="F102" s="4">
        <f>SUM(F103:F119)</f>
        <v>156346.81</v>
      </c>
      <c r="G102" s="4">
        <f>SUM(G103:G119)</f>
        <v>216410.5</v>
      </c>
      <c r="H102" s="4">
        <f t="shared" ref="H102:N102" si="31">SUM(H103:H119)</f>
        <v>0</v>
      </c>
      <c r="I102" s="4">
        <f t="shared" si="31"/>
        <v>0</v>
      </c>
      <c r="J102" s="4">
        <f t="shared" si="31"/>
        <v>0</v>
      </c>
      <c r="K102" s="4">
        <f t="shared" si="31"/>
        <v>0</v>
      </c>
      <c r="L102" s="4">
        <f t="shared" si="31"/>
        <v>0</v>
      </c>
      <c r="M102" s="4">
        <f t="shared" si="31"/>
        <v>0</v>
      </c>
      <c r="N102" s="4">
        <f t="shared" si="31"/>
        <v>0</v>
      </c>
      <c r="O102" s="5">
        <f>SUM(C102:N102)</f>
        <v>1805755.59</v>
      </c>
    </row>
    <row r="103" spans="1:15" ht="17.100000000000001" customHeight="1" x14ac:dyDescent="0.25">
      <c r="A103" s="19" t="s">
        <v>210</v>
      </c>
      <c r="B103" s="20" t="s">
        <v>211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9"/>
    </row>
    <row r="104" spans="1:15" ht="17.100000000000001" customHeight="1" x14ac:dyDescent="0.25">
      <c r="A104" s="19" t="s">
        <v>212</v>
      </c>
      <c r="B104" s="20" t="s">
        <v>213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9"/>
    </row>
    <row r="105" spans="1:15" ht="17.100000000000001" customHeight="1" x14ac:dyDescent="0.25">
      <c r="A105" s="19" t="s">
        <v>214</v>
      </c>
      <c r="B105" s="20" t="s">
        <v>215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9"/>
    </row>
    <row r="106" spans="1:15" ht="17.100000000000001" customHeight="1" x14ac:dyDescent="0.25">
      <c r="A106" s="19" t="s">
        <v>216</v>
      </c>
      <c r="B106" s="20" t="s">
        <v>217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9"/>
    </row>
    <row r="107" spans="1:15" ht="17.100000000000001" customHeight="1" x14ac:dyDescent="0.25">
      <c r="A107" s="19" t="s">
        <v>218</v>
      </c>
      <c r="B107" s="20" t="s">
        <v>219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9"/>
    </row>
    <row r="108" spans="1:15" ht="17.100000000000001" customHeight="1" x14ac:dyDescent="0.25">
      <c r="A108" s="19" t="s">
        <v>220</v>
      </c>
      <c r="B108" s="20" t="s">
        <v>221</v>
      </c>
      <c r="C108" s="8">
        <f>969061.5</f>
        <v>969061.5</v>
      </c>
      <c r="D108" s="8"/>
      <c r="E108" s="8"/>
      <c r="F108" s="8"/>
      <c r="G108" s="8">
        <f>74000</f>
        <v>74000</v>
      </c>
      <c r="H108" s="8"/>
      <c r="I108" s="8"/>
      <c r="J108" s="8"/>
      <c r="K108" s="8"/>
      <c r="L108" s="8"/>
      <c r="M108" s="8"/>
      <c r="N108" s="8"/>
      <c r="O108" s="9"/>
    </row>
    <row r="109" spans="1:15" ht="17.100000000000001" customHeight="1" x14ac:dyDescent="0.25">
      <c r="A109" s="19" t="s">
        <v>222</v>
      </c>
      <c r="B109" s="20" t="s">
        <v>223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9"/>
    </row>
    <row r="110" spans="1:15" ht="17.100000000000001" customHeight="1" x14ac:dyDescent="0.25">
      <c r="A110" s="19" t="s">
        <v>224</v>
      </c>
      <c r="B110" s="20" t="s">
        <v>223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9"/>
    </row>
    <row r="111" spans="1:15" ht="17.100000000000001" customHeight="1" x14ac:dyDescent="0.25">
      <c r="A111" s="19" t="s">
        <v>225</v>
      </c>
      <c r="B111" s="20" t="s">
        <v>226</v>
      </c>
      <c r="C111" s="8">
        <v>8.6300000000000008</v>
      </c>
      <c r="D111" s="8"/>
      <c r="E111" s="8"/>
      <c r="F111" s="8">
        <f>1.43</f>
        <v>1.43</v>
      </c>
      <c r="G111" s="8">
        <v>10.29</v>
      </c>
      <c r="H111" s="8"/>
      <c r="I111" s="8"/>
      <c r="J111" s="8"/>
      <c r="K111" s="8"/>
      <c r="L111" s="8"/>
      <c r="M111" s="8"/>
      <c r="N111" s="8"/>
      <c r="O111" s="9"/>
    </row>
    <row r="112" spans="1:15" ht="17.100000000000001" customHeight="1" x14ac:dyDescent="0.25">
      <c r="A112" s="19" t="s">
        <v>227</v>
      </c>
      <c r="B112" s="20" t="s">
        <v>228</v>
      </c>
      <c r="C112" s="8">
        <f>18355.87</f>
        <v>18355.87</v>
      </c>
      <c r="D112" s="8">
        <f>18355.87</f>
        <v>18355.87</v>
      </c>
      <c r="E112" s="8">
        <f>18355.87</f>
        <v>18355.87</v>
      </c>
      <c r="F112" s="8">
        <f>18355.87</f>
        <v>18355.87</v>
      </c>
      <c r="G112" s="8">
        <f>18355.87</f>
        <v>18355.87</v>
      </c>
      <c r="H112" s="8"/>
      <c r="I112" s="8"/>
      <c r="J112" s="8"/>
      <c r="K112" s="8"/>
      <c r="L112" s="8"/>
      <c r="M112" s="8"/>
      <c r="N112" s="8"/>
      <c r="O112" s="9"/>
    </row>
    <row r="113" spans="1:15" ht="17.100000000000001" customHeight="1" x14ac:dyDescent="0.25">
      <c r="A113" s="19" t="s">
        <v>229</v>
      </c>
      <c r="B113" s="20" t="s">
        <v>230</v>
      </c>
      <c r="C113" s="8">
        <f>125403.31</f>
        <v>125403.31</v>
      </c>
      <c r="D113" s="8">
        <f>146396.05</f>
        <v>146396.04999999999</v>
      </c>
      <c r="E113" s="8">
        <f>137061.18</f>
        <v>137061.18</v>
      </c>
      <c r="F113" s="8">
        <f>137989.51</f>
        <v>137989.51</v>
      </c>
      <c r="G113" s="8">
        <v>124044.34</v>
      </c>
      <c r="H113" s="8"/>
      <c r="I113" s="8"/>
      <c r="J113" s="8"/>
      <c r="K113" s="8"/>
      <c r="L113" s="8"/>
      <c r="M113" s="8"/>
      <c r="N113" s="8"/>
      <c r="O113" s="9"/>
    </row>
    <row r="114" spans="1:15" ht="17.100000000000001" customHeight="1" x14ac:dyDescent="0.25">
      <c r="A114" s="19" t="s">
        <v>231</v>
      </c>
      <c r="B114" s="20" t="s">
        <v>232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9"/>
    </row>
    <row r="115" spans="1:15" ht="17.100000000000001" customHeight="1" x14ac:dyDescent="0.25">
      <c r="A115" s="19" t="s">
        <v>233</v>
      </c>
      <c r="B115" s="20" t="s">
        <v>234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9"/>
    </row>
    <row r="116" spans="1:15" ht="17.100000000000001" customHeight="1" x14ac:dyDescent="0.25">
      <c r="A116" s="19" t="s">
        <v>235</v>
      </c>
      <c r="B116" s="20" t="s">
        <v>236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9"/>
    </row>
    <row r="117" spans="1:15" ht="17.100000000000001" customHeight="1" x14ac:dyDescent="0.25">
      <c r="A117" s="19" t="s">
        <v>237</v>
      </c>
      <c r="B117" s="20" t="s">
        <v>236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9"/>
    </row>
    <row r="118" spans="1:15" ht="17.100000000000001" customHeight="1" x14ac:dyDescent="0.25">
      <c r="A118" s="19" t="s">
        <v>238</v>
      </c>
      <c r="B118" s="20" t="s">
        <v>239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9"/>
    </row>
    <row r="119" spans="1:15" ht="17.100000000000001" customHeight="1" x14ac:dyDescent="0.25">
      <c r="A119" s="19" t="s">
        <v>240</v>
      </c>
      <c r="B119" s="20" t="s">
        <v>241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9"/>
    </row>
    <row r="120" spans="1:15" ht="17.100000000000001" customHeight="1" x14ac:dyDescent="0.25">
      <c r="A120" s="10" t="s">
        <v>242</v>
      </c>
      <c r="B120" s="11" t="s">
        <v>243</v>
      </c>
      <c r="C120" s="4">
        <f>C121</f>
        <v>0</v>
      </c>
      <c r="D120" s="4">
        <f>D121</f>
        <v>0</v>
      </c>
      <c r="E120" s="4">
        <f t="shared" ref="E120:M120" si="32">E121</f>
        <v>0</v>
      </c>
      <c r="F120" s="4">
        <f t="shared" si="32"/>
        <v>0</v>
      </c>
      <c r="G120" s="4">
        <f t="shared" si="32"/>
        <v>0</v>
      </c>
      <c r="H120" s="4">
        <f>H121</f>
        <v>0</v>
      </c>
      <c r="I120" s="4">
        <f>I121</f>
        <v>0</v>
      </c>
      <c r="J120" s="4">
        <f>J121</f>
        <v>0</v>
      </c>
      <c r="K120" s="4">
        <f t="shared" si="32"/>
        <v>0</v>
      </c>
      <c r="L120" s="4">
        <f>L121</f>
        <v>0</v>
      </c>
      <c r="M120" s="4">
        <f t="shared" si="32"/>
        <v>0</v>
      </c>
      <c r="N120" s="4">
        <f>N121</f>
        <v>0</v>
      </c>
      <c r="O120" s="5">
        <f>SUM(C120:N120)</f>
        <v>0</v>
      </c>
    </row>
    <row r="121" spans="1:15" ht="17.100000000000001" customHeight="1" x14ac:dyDescent="0.25">
      <c r="A121" s="6" t="s">
        <v>244</v>
      </c>
      <c r="B121" s="7" t="s">
        <v>243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9">
        <f>SUM(C121:N121)</f>
        <v>0</v>
      </c>
    </row>
    <row r="122" spans="1:15" ht="17.100000000000001" customHeight="1" x14ac:dyDescent="0.25">
      <c r="A122" s="10" t="s">
        <v>245</v>
      </c>
      <c r="B122" s="11" t="s">
        <v>246</v>
      </c>
      <c r="C122" s="4">
        <f>C123</f>
        <v>1333</v>
      </c>
      <c r="D122" s="4">
        <f>D123</f>
        <v>3849.23</v>
      </c>
      <c r="E122" s="4">
        <f>E123</f>
        <v>6138.12</v>
      </c>
      <c r="F122" s="4">
        <f>F123</f>
        <v>58.360000000000007</v>
      </c>
      <c r="G122" s="4">
        <f>G123</f>
        <v>5309.3300000000008</v>
      </c>
      <c r="H122" s="4">
        <f t="shared" ref="H122:M122" si="33">H123</f>
        <v>0</v>
      </c>
      <c r="I122" s="4">
        <f t="shared" si="33"/>
        <v>0</v>
      </c>
      <c r="J122" s="4">
        <f>J123</f>
        <v>0</v>
      </c>
      <c r="K122" s="4">
        <f t="shared" si="33"/>
        <v>0</v>
      </c>
      <c r="L122" s="4">
        <f t="shared" si="33"/>
        <v>0</v>
      </c>
      <c r="M122" s="4">
        <f t="shared" si="33"/>
        <v>0</v>
      </c>
      <c r="N122" s="4">
        <f>N123</f>
        <v>0</v>
      </c>
      <c r="O122" s="5">
        <f>SUM(C122:N122)</f>
        <v>16688.04</v>
      </c>
    </row>
    <row r="123" spans="1:15" x14ac:dyDescent="0.25">
      <c r="A123" s="6" t="s">
        <v>247</v>
      </c>
      <c r="B123" s="7" t="s">
        <v>246</v>
      </c>
      <c r="C123" s="8">
        <f>1333</f>
        <v>1333</v>
      </c>
      <c r="D123" s="8">
        <f>0.55+3848.68</f>
        <v>3849.23</v>
      </c>
      <c r="E123" s="8">
        <f>0.43+0.04+6137.65</f>
        <v>6138.12</v>
      </c>
      <c r="F123" s="8">
        <f>0.07+0.02+58.27</f>
        <v>58.360000000000007</v>
      </c>
      <c r="G123" s="8">
        <f>0.52+5308.81</f>
        <v>5309.3300000000008</v>
      </c>
      <c r="H123" s="8"/>
      <c r="I123" s="8"/>
      <c r="J123" s="8"/>
      <c r="K123" s="8"/>
      <c r="L123" s="8"/>
      <c r="M123" s="8"/>
      <c r="N123" s="8"/>
      <c r="O123" s="9">
        <f>SUM(C123:N123)</f>
        <v>16688.04</v>
      </c>
    </row>
    <row r="124" spans="1:15" ht="19.5" thickBot="1" x14ac:dyDescent="0.35">
      <c r="A124" s="43" t="s">
        <v>248</v>
      </c>
      <c r="B124" s="44"/>
      <c r="C124" s="24">
        <f>C4+C8+C11+C14+C16+C18+C22+C24+C26+C29+C32+C36+C40+C43+C47+C50+C53+C58+C62+C66+C71+C74+C77+C80+C82+C86+C99+C102+C120+C122+C69+C20+C84</f>
        <v>18742277.379999999</v>
      </c>
      <c r="D124" s="24">
        <f t="shared" ref="D124:N124" si="34">D4+D8+D11+D14+D16+D18+D22+D24+D26+D29+D32+D36+D40+D43+D47+D50+D53+D58+D62+D66+D71+D74+D77+D80+D82+D86+D99+D102+D120+D122+D69+D20</f>
        <v>13205616.57</v>
      </c>
      <c r="E124" s="24">
        <f>E4+E8+E11+E14+E16+E18+E22+E24+E26+E29+E32+E36+E40+E43+E47+E50+E53+E58+E62+E66+E71+E74+E77+E80+E82+E86+E99+E102+E120+E122+E69+E20+E84</f>
        <v>14190479.349999998</v>
      </c>
      <c r="F124" s="24">
        <f>F4+F8+F11+F14+F16+F18+F22+F24+F26+F29+F32+F36+F40+F43+F47+F50+F53+F58+F62+F66+F71+F74+F77+F80+F82+F86+F99+F102+F120+F122+F69+F20+F84</f>
        <v>10161375.6</v>
      </c>
      <c r="G124" s="24">
        <f>G4+G8+G11+G14+G16+G18+G22+G24+G26+G29+G32+G36+G40+G43+G47+G50+G53+G58+G62+G66+G71+G74+G77+G80+G82+G86+G99+G102+G120+G122+G69+G20+G84</f>
        <v>11916063.82</v>
      </c>
      <c r="H124" s="24">
        <f t="shared" si="34"/>
        <v>0</v>
      </c>
      <c r="I124" s="24">
        <f>I4+I8+I11+I14+I16+I18+I22+I24+I26+I29+I32+I36+I40+I43+I47+I50+I53+I58+I62+I66+I71+I74+I77+I80+I82+I86+I99+I102+I120+I122+I69+I20</f>
        <v>0</v>
      </c>
      <c r="J124" s="24">
        <f t="shared" si="34"/>
        <v>0</v>
      </c>
      <c r="K124" s="24">
        <f t="shared" si="34"/>
        <v>0</v>
      </c>
      <c r="L124" s="24">
        <f t="shared" si="34"/>
        <v>0</v>
      </c>
      <c r="M124" s="24">
        <f t="shared" si="34"/>
        <v>0</v>
      </c>
      <c r="N124" s="24">
        <f t="shared" si="34"/>
        <v>0</v>
      </c>
      <c r="O124" s="25">
        <f>O122+O120+O102+O99+O86+O84+O82+O80+O77+O74+O71+O69+O66+O62+O58+O53+O50+O47+O43+O40+O36+O32+O29+O26+O24+O22+O20+O18+O16+O14+O11+O8+O4</f>
        <v>68215812.719999999</v>
      </c>
    </row>
    <row r="125" spans="1:15" ht="15.75" thickTop="1" x14ac:dyDescent="0.25"/>
    <row r="126" spans="1:15" ht="18.75" x14ac:dyDescent="0.3">
      <c r="B126" s="27" t="s">
        <v>249</v>
      </c>
      <c r="C126" s="28" t="s">
        <v>4</v>
      </c>
      <c r="D126" s="28" t="s">
        <v>5</v>
      </c>
      <c r="E126" s="28" t="s">
        <v>6</v>
      </c>
      <c r="F126" s="28" t="s">
        <v>7</v>
      </c>
      <c r="G126" s="28" t="s">
        <v>8</v>
      </c>
      <c r="H126" s="28" t="s">
        <v>9</v>
      </c>
      <c r="I126" s="28" t="s">
        <v>10</v>
      </c>
      <c r="J126" s="28" t="s">
        <v>11</v>
      </c>
      <c r="K126" s="28" t="s">
        <v>12</v>
      </c>
      <c r="L126" s="28" t="s">
        <v>13</v>
      </c>
      <c r="M126" s="28" t="s">
        <v>14</v>
      </c>
      <c r="N126" s="28" t="s">
        <v>15</v>
      </c>
      <c r="O126" s="28" t="s">
        <v>248</v>
      </c>
    </row>
    <row r="127" spans="1:15" x14ac:dyDescent="0.25">
      <c r="A127"/>
      <c r="B127" s="29" t="s">
        <v>250</v>
      </c>
      <c r="C127" s="30">
        <f>C128+C129+C130</f>
        <v>8226699.1100000003</v>
      </c>
      <c r="D127" s="30">
        <f t="shared" ref="D127:N127" si="35">D128+D129+D130</f>
        <v>3328101.9899999998</v>
      </c>
      <c r="E127" s="30">
        <f t="shared" si="35"/>
        <v>1728227.6600000001</v>
      </c>
      <c r="F127" s="30">
        <f>F128+F129+F130</f>
        <v>1094128.94</v>
      </c>
      <c r="G127" s="30">
        <f t="shared" si="35"/>
        <v>714023.94</v>
      </c>
      <c r="H127" s="30">
        <f t="shared" si="35"/>
        <v>0</v>
      </c>
      <c r="I127" s="30">
        <f t="shared" si="35"/>
        <v>0</v>
      </c>
      <c r="J127" s="30">
        <f t="shared" si="35"/>
        <v>0</v>
      </c>
      <c r="K127" s="30">
        <f t="shared" si="35"/>
        <v>0</v>
      </c>
      <c r="L127" s="30">
        <f t="shared" si="35"/>
        <v>0</v>
      </c>
      <c r="M127" s="30">
        <f t="shared" si="35"/>
        <v>0</v>
      </c>
      <c r="N127" s="30">
        <f t="shared" si="35"/>
        <v>0</v>
      </c>
      <c r="O127" s="30">
        <f>SUM(C127:N127)</f>
        <v>15091181.639999999</v>
      </c>
    </row>
    <row r="128" spans="1:15" x14ac:dyDescent="0.25">
      <c r="A128"/>
      <c r="B128" s="31" t="s">
        <v>251</v>
      </c>
      <c r="C128" s="32">
        <f>C8+C11+C16+C18+C20+C71</f>
        <v>4216514.05</v>
      </c>
      <c r="D128" s="32">
        <f t="shared" ref="D128:N128" si="36">D8+D11+D16+D18+D20+D71</f>
        <v>1598572.5999999999</v>
      </c>
      <c r="E128" s="32">
        <f t="shared" si="36"/>
        <v>760807.52000000014</v>
      </c>
      <c r="F128" s="32">
        <f t="shared" si="36"/>
        <v>663442.87</v>
      </c>
      <c r="G128" s="32">
        <f t="shared" si="36"/>
        <v>439630.00999999995</v>
      </c>
      <c r="H128" s="32">
        <f t="shared" si="36"/>
        <v>0</v>
      </c>
      <c r="I128" s="32">
        <f t="shared" si="36"/>
        <v>0</v>
      </c>
      <c r="J128" s="32">
        <f t="shared" si="36"/>
        <v>0</v>
      </c>
      <c r="K128" s="32">
        <f t="shared" si="36"/>
        <v>0</v>
      </c>
      <c r="L128" s="32">
        <f t="shared" si="36"/>
        <v>0</v>
      </c>
      <c r="M128" s="32">
        <f t="shared" si="36"/>
        <v>0</v>
      </c>
      <c r="N128" s="32">
        <f t="shared" si="36"/>
        <v>0</v>
      </c>
      <c r="O128" s="33">
        <f>SUM(C128:N128)</f>
        <v>7678967.0499999998</v>
      </c>
    </row>
    <row r="129" spans="1:15" x14ac:dyDescent="0.25">
      <c r="A129"/>
      <c r="B129" s="31" t="s">
        <v>252</v>
      </c>
      <c r="C129" s="32">
        <f>C53+C76+C79</f>
        <v>3709959.11</v>
      </c>
      <c r="D129" s="32">
        <f t="shared" ref="D129:N129" si="37">D53+D76+D79</f>
        <v>1504475.7399999998</v>
      </c>
      <c r="E129" s="32">
        <f t="shared" si="37"/>
        <v>621958.1399999999</v>
      </c>
      <c r="F129" s="32">
        <f t="shared" si="37"/>
        <v>155237.35</v>
      </c>
      <c r="G129" s="32">
        <f t="shared" si="37"/>
        <v>110338.59000000001</v>
      </c>
      <c r="H129" s="32">
        <f t="shared" si="37"/>
        <v>0</v>
      </c>
      <c r="I129" s="32">
        <f t="shared" si="37"/>
        <v>0</v>
      </c>
      <c r="J129" s="32">
        <f t="shared" si="37"/>
        <v>0</v>
      </c>
      <c r="K129" s="32">
        <f t="shared" si="37"/>
        <v>0</v>
      </c>
      <c r="L129" s="32">
        <f t="shared" si="37"/>
        <v>0</v>
      </c>
      <c r="M129" s="32">
        <f t="shared" si="37"/>
        <v>0</v>
      </c>
      <c r="N129" s="32">
        <f t="shared" si="37"/>
        <v>0</v>
      </c>
      <c r="O129" s="33">
        <f>SUM(C129:N129)</f>
        <v>6101968.9299999988</v>
      </c>
    </row>
    <row r="130" spans="1:15" x14ac:dyDescent="0.25">
      <c r="A130"/>
      <c r="B130" s="31" t="s">
        <v>253</v>
      </c>
      <c r="C130" s="32">
        <f>C140+C138+C137+C136+C135+C134+C133+C132+C131+C139</f>
        <v>300225.95</v>
      </c>
      <c r="D130" s="32">
        <f t="shared" ref="D130:N130" si="38">D140+D138+D137+D136+D135+D134+D133+D132+D131+D139</f>
        <v>225053.65000000002</v>
      </c>
      <c r="E130" s="32">
        <f t="shared" si="38"/>
        <v>345462</v>
      </c>
      <c r="F130" s="32">
        <f>F140+F138+F137+F136+F135+F134+F133+F132+F131+F139+F84</f>
        <v>275448.71999999997</v>
      </c>
      <c r="G130" s="32">
        <f t="shared" si="38"/>
        <v>164055.34</v>
      </c>
      <c r="H130" s="32">
        <f t="shared" si="38"/>
        <v>0</v>
      </c>
      <c r="I130" s="32">
        <f t="shared" si="38"/>
        <v>0</v>
      </c>
      <c r="J130" s="32">
        <f t="shared" si="38"/>
        <v>0</v>
      </c>
      <c r="K130" s="32">
        <f t="shared" si="38"/>
        <v>0</v>
      </c>
      <c r="L130" s="32">
        <f t="shared" si="38"/>
        <v>0</v>
      </c>
      <c r="M130" s="32">
        <f t="shared" si="38"/>
        <v>0</v>
      </c>
      <c r="N130" s="32">
        <f t="shared" si="38"/>
        <v>0</v>
      </c>
      <c r="O130" s="33">
        <f>SUM(C130:N130)</f>
        <v>1310245.6600000001</v>
      </c>
    </row>
    <row r="131" spans="1:15" hidden="1" x14ac:dyDescent="0.25">
      <c r="A131"/>
      <c r="B131" s="34" t="s">
        <v>254</v>
      </c>
      <c r="C131" s="8">
        <f>C14+C24+C43+C47+C42</f>
        <v>11552.51</v>
      </c>
      <c r="D131" s="8">
        <f t="shared" ref="D131:N131" si="39">D14+D24+D43+D47+D42</f>
        <v>41579.800000000003</v>
      </c>
      <c r="E131" s="8">
        <f t="shared" si="39"/>
        <v>180908.99999999997</v>
      </c>
      <c r="F131" s="8">
        <f t="shared" si="39"/>
        <v>21519.37</v>
      </c>
      <c r="G131" s="8">
        <f t="shared" si="39"/>
        <v>18498.41</v>
      </c>
      <c r="H131" s="8">
        <f t="shared" si="39"/>
        <v>0</v>
      </c>
      <c r="I131" s="8">
        <f t="shared" si="39"/>
        <v>0</v>
      </c>
      <c r="J131" s="8">
        <f t="shared" si="39"/>
        <v>0</v>
      </c>
      <c r="K131" s="8">
        <f t="shared" si="39"/>
        <v>0</v>
      </c>
      <c r="L131" s="8">
        <f t="shared" si="39"/>
        <v>0</v>
      </c>
      <c r="M131" s="8">
        <f t="shared" si="39"/>
        <v>0</v>
      </c>
      <c r="N131" s="8">
        <f t="shared" si="39"/>
        <v>0</v>
      </c>
      <c r="O131" s="35">
        <v>0</v>
      </c>
    </row>
    <row r="132" spans="1:15" hidden="1" x14ac:dyDescent="0.25">
      <c r="A132"/>
      <c r="B132" s="34" t="s">
        <v>255</v>
      </c>
      <c r="C132" s="8">
        <f>C26+C32</f>
        <v>22027</v>
      </c>
      <c r="D132" s="8">
        <f t="shared" ref="D132:N132" si="40">D26+D32</f>
        <v>12227</v>
      </c>
      <c r="E132" s="8">
        <f t="shared" si="40"/>
        <v>14457</v>
      </c>
      <c r="F132" s="8">
        <f t="shared" si="40"/>
        <v>13897</v>
      </c>
      <c r="G132" s="8">
        <f t="shared" si="40"/>
        <v>16757</v>
      </c>
      <c r="H132" s="8">
        <f t="shared" si="40"/>
        <v>0</v>
      </c>
      <c r="I132" s="8">
        <f t="shared" si="40"/>
        <v>0</v>
      </c>
      <c r="J132" s="8">
        <f t="shared" si="40"/>
        <v>0</v>
      </c>
      <c r="K132" s="8">
        <f t="shared" si="40"/>
        <v>0</v>
      </c>
      <c r="L132" s="8">
        <f t="shared" si="40"/>
        <v>0</v>
      </c>
      <c r="M132" s="8">
        <f t="shared" si="40"/>
        <v>0</v>
      </c>
      <c r="N132" s="8">
        <f t="shared" si="40"/>
        <v>0</v>
      </c>
      <c r="O132" s="35">
        <v>0</v>
      </c>
    </row>
    <row r="133" spans="1:15" hidden="1" x14ac:dyDescent="0.25">
      <c r="A133"/>
      <c r="B133" s="34" t="s">
        <v>256</v>
      </c>
      <c r="C133" s="8">
        <f>C29</f>
        <v>31954</v>
      </c>
      <c r="D133" s="8">
        <f t="shared" ref="D133:N133" si="41">D29</f>
        <v>11025</v>
      </c>
      <c r="E133" s="8">
        <f t="shared" si="41"/>
        <v>6804</v>
      </c>
      <c r="F133" s="8">
        <f t="shared" si="41"/>
        <v>6330</v>
      </c>
      <c r="G133" s="8">
        <f t="shared" si="41"/>
        <v>6339.6</v>
      </c>
      <c r="H133" s="8">
        <f t="shared" si="41"/>
        <v>0</v>
      </c>
      <c r="I133" s="8">
        <f t="shared" si="41"/>
        <v>0</v>
      </c>
      <c r="J133" s="8">
        <f t="shared" si="41"/>
        <v>0</v>
      </c>
      <c r="K133" s="8">
        <f t="shared" si="41"/>
        <v>0</v>
      </c>
      <c r="L133" s="8">
        <f t="shared" si="41"/>
        <v>0</v>
      </c>
      <c r="M133" s="8">
        <f t="shared" si="41"/>
        <v>0</v>
      </c>
      <c r="N133" s="8">
        <f t="shared" si="41"/>
        <v>0</v>
      </c>
      <c r="O133" s="35">
        <v>0</v>
      </c>
    </row>
    <row r="134" spans="1:15" hidden="1" x14ac:dyDescent="0.25">
      <c r="A134"/>
      <c r="B134" s="34" t="s">
        <v>257</v>
      </c>
      <c r="C134" s="8">
        <f>C36+C41</f>
        <v>93531</v>
      </c>
      <c r="D134" s="8">
        <f t="shared" ref="D134:N134" si="42">D36+D41</f>
        <v>60639</v>
      </c>
      <c r="E134" s="8">
        <f t="shared" si="42"/>
        <v>28368</v>
      </c>
      <c r="F134" s="8">
        <f t="shared" si="42"/>
        <v>11878</v>
      </c>
      <c r="G134" s="8">
        <f t="shared" si="42"/>
        <v>13308</v>
      </c>
      <c r="H134" s="8">
        <f t="shared" si="42"/>
        <v>0</v>
      </c>
      <c r="I134" s="8">
        <f t="shared" si="42"/>
        <v>0</v>
      </c>
      <c r="J134" s="8">
        <f t="shared" si="42"/>
        <v>0</v>
      </c>
      <c r="K134" s="8">
        <f t="shared" si="42"/>
        <v>0</v>
      </c>
      <c r="L134" s="8">
        <f t="shared" si="42"/>
        <v>0</v>
      </c>
      <c r="M134" s="8">
        <f t="shared" si="42"/>
        <v>0</v>
      </c>
      <c r="N134" s="8">
        <f t="shared" si="42"/>
        <v>0</v>
      </c>
      <c r="O134" s="35">
        <v>0</v>
      </c>
    </row>
    <row r="135" spans="1:15" hidden="1" x14ac:dyDescent="0.25">
      <c r="A135"/>
      <c r="B135" s="34" t="s">
        <v>258</v>
      </c>
      <c r="C135" s="8">
        <f>C58</f>
        <v>17519</v>
      </c>
      <c r="D135" s="8">
        <f t="shared" ref="D135:N135" si="43">D58</f>
        <v>11137</v>
      </c>
      <c r="E135" s="8">
        <f t="shared" si="43"/>
        <v>19557</v>
      </c>
      <c r="F135" s="8">
        <f t="shared" si="43"/>
        <v>13045</v>
      </c>
      <c r="G135" s="8">
        <f t="shared" si="43"/>
        <v>16648</v>
      </c>
      <c r="H135" s="8">
        <f t="shared" si="43"/>
        <v>0</v>
      </c>
      <c r="I135" s="8">
        <f t="shared" si="43"/>
        <v>0</v>
      </c>
      <c r="J135" s="8">
        <f t="shared" si="43"/>
        <v>0</v>
      </c>
      <c r="K135" s="8">
        <f t="shared" si="43"/>
        <v>0</v>
      </c>
      <c r="L135" s="8">
        <f t="shared" si="43"/>
        <v>0</v>
      </c>
      <c r="M135" s="8">
        <f t="shared" si="43"/>
        <v>0</v>
      </c>
      <c r="N135" s="8">
        <f t="shared" si="43"/>
        <v>0</v>
      </c>
      <c r="O135" s="35">
        <v>0</v>
      </c>
    </row>
    <row r="136" spans="1:15" hidden="1" x14ac:dyDescent="0.25">
      <c r="A136"/>
      <c r="B136" s="34" t="s">
        <v>259</v>
      </c>
      <c r="C136" s="8">
        <f>C50+C62+C68</f>
        <v>94933</v>
      </c>
      <c r="D136" s="8">
        <f t="shared" ref="D136:N136" si="44">D50+D62+D68</f>
        <v>71216.600000000006</v>
      </c>
      <c r="E136" s="8">
        <f t="shared" si="44"/>
        <v>71956</v>
      </c>
      <c r="F136" s="8">
        <f t="shared" si="44"/>
        <v>51231</v>
      </c>
      <c r="G136" s="8">
        <f t="shared" si="44"/>
        <v>61498</v>
      </c>
      <c r="H136" s="8">
        <f t="shared" si="44"/>
        <v>0</v>
      </c>
      <c r="I136" s="8">
        <f t="shared" si="44"/>
        <v>0</v>
      </c>
      <c r="J136" s="8">
        <f t="shared" si="44"/>
        <v>0</v>
      </c>
      <c r="K136" s="8">
        <f t="shared" si="44"/>
        <v>0</v>
      </c>
      <c r="L136" s="8">
        <f t="shared" si="44"/>
        <v>0</v>
      </c>
      <c r="M136" s="8">
        <f t="shared" si="44"/>
        <v>0</v>
      </c>
      <c r="N136" s="8">
        <f t="shared" si="44"/>
        <v>0</v>
      </c>
      <c r="O136" s="35">
        <v>0</v>
      </c>
    </row>
    <row r="137" spans="1:15" hidden="1" x14ac:dyDescent="0.25">
      <c r="A137"/>
      <c r="B137" s="34" t="s">
        <v>260</v>
      </c>
      <c r="C137" s="8">
        <f>C67</f>
        <v>2139</v>
      </c>
      <c r="D137" s="8">
        <f t="shared" ref="D137:N137" si="45">D67</f>
        <v>1005</v>
      </c>
      <c r="E137" s="8">
        <f t="shared" si="45"/>
        <v>2663</v>
      </c>
      <c r="F137" s="8">
        <f t="shared" si="45"/>
        <v>1406</v>
      </c>
      <c r="G137" s="8">
        <f t="shared" si="45"/>
        <v>1567</v>
      </c>
      <c r="H137" s="8">
        <f t="shared" si="45"/>
        <v>0</v>
      </c>
      <c r="I137" s="8">
        <f t="shared" si="45"/>
        <v>0</v>
      </c>
      <c r="J137" s="8">
        <f t="shared" si="45"/>
        <v>0</v>
      </c>
      <c r="K137" s="8">
        <f t="shared" si="45"/>
        <v>0</v>
      </c>
      <c r="L137" s="8">
        <f t="shared" si="45"/>
        <v>0</v>
      </c>
      <c r="M137" s="8">
        <f t="shared" si="45"/>
        <v>0</v>
      </c>
      <c r="N137" s="8">
        <f t="shared" si="45"/>
        <v>0</v>
      </c>
      <c r="O137" s="35">
        <v>0</v>
      </c>
    </row>
    <row r="138" spans="1:15" hidden="1" x14ac:dyDescent="0.25">
      <c r="A138"/>
      <c r="B138" s="34" t="s">
        <v>261</v>
      </c>
      <c r="C138" s="8">
        <f>C82+C78+C75</f>
        <v>24257.439999999999</v>
      </c>
      <c r="D138" s="8">
        <f t="shared" ref="D138:N138" si="46">D82+D78+D75</f>
        <v>11815.02</v>
      </c>
      <c r="E138" s="8">
        <f t="shared" si="46"/>
        <v>13534.880000000001</v>
      </c>
      <c r="F138" s="8">
        <f t="shared" si="46"/>
        <v>27426.840000000004</v>
      </c>
      <c r="G138" s="8">
        <f t="shared" si="46"/>
        <v>23125</v>
      </c>
      <c r="H138" s="8">
        <f t="shared" si="46"/>
        <v>0</v>
      </c>
      <c r="I138" s="8">
        <f t="shared" si="46"/>
        <v>0</v>
      </c>
      <c r="J138" s="8">
        <f t="shared" si="46"/>
        <v>0</v>
      </c>
      <c r="K138" s="8">
        <f t="shared" si="46"/>
        <v>0</v>
      </c>
      <c r="L138" s="8">
        <f t="shared" si="46"/>
        <v>0</v>
      </c>
      <c r="M138" s="8">
        <f t="shared" si="46"/>
        <v>0</v>
      </c>
      <c r="N138" s="8">
        <f t="shared" si="46"/>
        <v>0</v>
      </c>
      <c r="O138" s="35">
        <v>0</v>
      </c>
    </row>
    <row r="139" spans="1:15" hidden="1" x14ac:dyDescent="0.25">
      <c r="A139"/>
      <c r="B139" s="34" t="s">
        <v>262</v>
      </c>
      <c r="C139" s="8">
        <f>C80</f>
        <v>980</v>
      </c>
      <c r="D139" s="8">
        <f t="shared" ref="D139:N139" si="47">D80</f>
        <v>560</v>
      </c>
      <c r="E139" s="8">
        <f t="shared" si="47"/>
        <v>1075</v>
      </c>
      <c r="F139" s="8">
        <f t="shared" si="47"/>
        <v>50475</v>
      </c>
      <c r="G139" s="8">
        <f t="shared" si="47"/>
        <v>1005</v>
      </c>
      <c r="H139" s="8">
        <f t="shared" si="47"/>
        <v>0</v>
      </c>
      <c r="I139" s="8">
        <f t="shared" si="47"/>
        <v>0</v>
      </c>
      <c r="J139" s="8">
        <f t="shared" si="47"/>
        <v>0</v>
      </c>
      <c r="K139" s="8">
        <f t="shared" si="47"/>
        <v>0</v>
      </c>
      <c r="L139" s="8">
        <f t="shared" si="47"/>
        <v>0</v>
      </c>
      <c r="M139" s="8">
        <f t="shared" si="47"/>
        <v>0</v>
      </c>
      <c r="N139" s="8">
        <f t="shared" si="47"/>
        <v>0</v>
      </c>
      <c r="O139" s="35">
        <v>0</v>
      </c>
    </row>
    <row r="140" spans="1:15" ht="118.5" hidden="1" customHeight="1" x14ac:dyDescent="0.25">
      <c r="A140"/>
      <c r="B140" s="34" t="s">
        <v>263</v>
      </c>
      <c r="C140" s="8">
        <f>C122</f>
        <v>1333</v>
      </c>
      <c r="D140" s="8">
        <f t="shared" ref="D140:N140" si="48">D122</f>
        <v>3849.23</v>
      </c>
      <c r="E140" s="8">
        <f t="shared" si="48"/>
        <v>6138.12</v>
      </c>
      <c r="F140" s="8">
        <f t="shared" si="48"/>
        <v>58.360000000000007</v>
      </c>
      <c r="G140" s="8">
        <f t="shared" si="48"/>
        <v>5309.3300000000008</v>
      </c>
      <c r="H140" s="8">
        <f t="shared" si="48"/>
        <v>0</v>
      </c>
      <c r="I140" s="8">
        <f t="shared" si="48"/>
        <v>0</v>
      </c>
      <c r="J140" s="8">
        <f t="shared" si="48"/>
        <v>0</v>
      </c>
      <c r="K140" s="8">
        <f t="shared" si="48"/>
        <v>0</v>
      </c>
      <c r="L140" s="8">
        <f t="shared" si="48"/>
        <v>0</v>
      </c>
      <c r="M140" s="8">
        <f t="shared" si="48"/>
        <v>0</v>
      </c>
      <c r="N140" s="8">
        <f t="shared" si="48"/>
        <v>0</v>
      </c>
      <c r="O140" s="35">
        <v>0</v>
      </c>
    </row>
    <row r="141" spans="1:15" x14ac:dyDescent="0.25">
      <c r="A141"/>
      <c r="B141" s="29" t="s">
        <v>264</v>
      </c>
      <c r="C141" s="36">
        <f>C142+C143+C144</f>
        <v>10515578.270000001</v>
      </c>
      <c r="D141" s="36">
        <f t="shared" ref="D141:N141" si="49">D142+D143+D144</f>
        <v>9877514.5800000001</v>
      </c>
      <c r="E141" s="36">
        <f t="shared" si="49"/>
        <v>12462251.689999999</v>
      </c>
      <c r="F141" s="36">
        <f t="shared" si="49"/>
        <v>9067246.6600000001</v>
      </c>
      <c r="G141" s="36">
        <f t="shared" si="49"/>
        <v>11202039.880000001</v>
      </c>
      <c r="H141" s="36">
        <f t="shared" si="49"/>
        <v>0</v>
      </c>
      <c r="I141" s="36">
        <f t="shared" si="49"/>
        <v>0</v>
      </c>
      <c r="J141" s="36">
        <f t="shared" si="49"/>
        <v>0</v>
      </c>
      <c r="K141" s="36">
        <f t="shared" si="49"/>
        <v>0</v>
      </c>
      <c r="L141" s="36">
        <f t="shared" si="49"/>
        <v>0</v>
      </c>
      <c r="M141" s="36">
        <f t="shared" si="49"/>
        <v>0</v>
      </c>
      <c r="N141" s="36">
        <f t="shared" si="49"/>
        <v>0</v>
      </c>
      <c r="O141" s="30">
        <f>SUM(C141:N141)</f>
        <v>53124631.080000006</v>
      </c>
    </row>
    <row r="142" spans="1:15" x14ac:dyDescent="0.25">
      <c r="A142"/>
      <c r="B142" s="31" t="s">
        <v>265</v>
      </c>
      <c r="C142" s="37">
        <f>C86</f>
        <v>6346384.1100000013</v>
      </c>
      <c r="D142" s="37">
        <f t="shared" ref="D142:N142" si="50">D86</f>
        <v>6656397.8099999996</v>
      </c>
      <c r="E142" s="37">
        <f t="shared" si="50"/>
        <v>9250469.7899999991</v>
      </c>
      <c r="F142" s="37">
        <f t="shared" si="50"/>
        <v>5854535</v>
      </c>
      <c r="G142" s="37">
        <f t="shared" si="50"/>
        <v>7929264.5300000003</v>
      </c>
      <c r="H142" s="37">
        <f t="shared" si="50"/>
        <v>0</v>
      </c>
      <c r="I142" s="37">
        <f t="shared" si="50"/>
        <v>0</v>
      </c>
      <c r="J142" s="37">
        <f t="shared" si="50"/>
        <v>0</v>
      </c>
      <c r="K142" s="37">
        <f t="shared" si="50"/>
        <v>0</v>
      </c>
      <c r="L142" s="37">
        <f t="shared" si="50"/>
        <v>0</v>
      </c>
      <c r="M142" s="37">
        <f t="shared" si="50"/>
        <v>0</v>
      </c>
      <c r="N142" s="37">
        <f t="shared" si="50"/>
        <v>0</v>
      </c>
      <c r="O142" s="33">
        <f>SUM(C142:N142)</f>
        <v>36037051.240000002</v>
      </c>
    </row>
    <row r="143" spans="1:15" x14ac:dyDescent="0.25">
      <c r="A143"/>
      <c r="B143" s="31" t="s">
        <v>266</v>
      </c>
      <c r="C143" s="37">
        <f>C99</f>
        <v>3056364.85</v>
      </c>
      <c r="D143" s="37">
        <f t="shared" ref="D143:N143" si="51">D99</f>
        <v>3056364.85</v>
      </c>
      <c r="E143" s="37">
        <f t="shared" si="51"/>
        <v>3056364.85</v>
      </c>
      <c r="F143" s="37">
        <f t="shared" si="51"/>
        <v>3056364.85</v>
      </c>
      <c r="G143" s="37">
        <f t="shared" si="51"/>
        <v>3056364.85</v>
      </c>
      <c r="H143" s="37">
        <f t="shared" si="51"/>
        <v>0</v>
      </c>
      <c r="I143" s="37">
        <f t="shared" si="51"/>
        <v>0</v>
      </c>
      <c r="J143" s="37">
        <f t="shared" si="51"/>
        <v>0</v>
      </c>
      <c r="K143" s="37">
        <f t="shared" si="51"/>
        <v>0</v>
      </c>
      <c r="L143" s="37">
        <f t="shared" si="51"/>
        <v>0</v>
      </c>
      <c r="M143" s="37">
        <f t="shared" si="51"/>
        <v>0</v>
      </c>
      <c r="N143" s="37">
        <f t="shared" si="51"/>
        <v>0</v>
      </c>
      <c r="O143" s="33">
        <f>SUM(C143:N143)</f>
        <v>15281824.25</v>
      </c>
    </row>
    <row r="144" spans="1:15" x14ac:dyDescent="0.25">
      <c r="A144"/>
      <c r="B144" s="31" t="s">
        <v>267</v>
      </c>
      <c r="C144" s="37">
        <f>C102</f>
        <v>1112829.31</v>
      </c>
      <c r="D144" s="37">
        <f t="shared" ref="D144:N144" si="52">D102</f>
        <v>164751.91999999998</v>
      </c>
      <c r="E144" s="37">
        <f t="shared" si="52"/>
        <v>155417.04999999999</v>
      </c>
      <c r="F144" s="37">
        <f t="shared" si="52"/>
        <v>156346.81</v>
      </c>
      <c r="G144" s="37">
        <f t="shared" si="52"/>
        <v>216410.5</v>
      </c>
      <c r="H144" s="37">
        <f t="shared" si="52"/>
        <v>0</v>
      </c>
      <c r="I144" s="37">
        <f t="shared" si="52"/>
        <v>0</v>
      </c>
      <c r="J144" s="37">
        <f t="shared" si="52"/>
        <v>0</v>
      </c>
      <c r="K144" s="37">
        <f t="shared" si="52"/>
        <v>0</v>
      </c>
      <c r="L144" s="37">
        <f t="shared" si="52"/>
        <v>0</v>
      </c>
      <c r="M144" s="37">
        <f t="shared" si="52"/>
        <v>0</v>
      </c>
      <c r="N144" s="37">
        <f t="shared" si="52"/>
        <v>0</v>
      </c>
      <c r="O144" s="33">
        <f>SUM(C144:N144)</f>
        <v>1805755.59</v>
      </c>
    </row>
    <row r="145" spans="1:15" ht="21" x14ac:dyDescent="0.35">
      <c r="A145"/>
      <c r="B145" s="38" t="s">
        <v>248</v>
      </c>
      <c r="C145" s="39">
        <f>C141+C127</f>
        <v>18742277.380000003</v>
      </c>
      <c r="D145" s="39">
        <f t="shared" ref="D145:N145" si="53">D141+D127</f>
        <v>13205616.57</v>
      </c>
      <c r="E145" s="39">
        <f>E141+E127</f>
        <v>14190479.35</v>
      </c>
      <c r="F145" s="39">
        <f>F141+F127</f>
        <v>10161375.6</v>
      </c>
      <c r="G145" s="39">
        <f t="shared" si="53"/>
        <v>11916063.82</v>
      </c>
      <c r="H145" s="39">
        <f t="shared" si="53"/>
        <v>0</v>
      </c>
      <c r="I145" s="39">
        <f>I141+I127</f>
        <v>0</v>
      </c>
      <c r="J145" s="39">
        <f t="shared" si="53"/>
        <v>0</v>
      </c>
      <c r="K145" s="39">
        <f t="shared" si="53"/>
        <v>0</v>
      </c>
      <c r="L145" s="39">
        <f t="shared" si="53"/>
        <v>0</v>
      </c>
      <c r="M145" s="39">
        <f t="shared" si="53"/>
        <v>0</v>
      </c>
      <c r="N145" s="39">
        <f t="shared" si="53"/>
        <v>0</v>
      </c>
      <c r="O145" s="40">
        <f>O141+O127</f>
        <v>68215812.719999999</v>
      </c>
    </row>
    <row r="146" spans="1:15" x14ac:dyDescent="0.25"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x14ac:dyDescent="0.25"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x14ac:dyDescent="0.25"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1:15" x14ac:dyDescent="0.25"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1:15" x14ac:dyDescent="0.25"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</row>
    <row r="151" spans="1:15" x14ac:dyDescent="0.25"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1:15" x14ac:dyDescent="0.25"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</row>
  </sheetData>
  <mergeCells count="3">
    <mergeCell ref="A1:N1"/>
    <mergeCell ref="A2:N2"/>
    <mergeCell ref="A124:B124"/>
  </mergeCells>
  <pageMargins left="1" right="1" top="1" bottom="1" header="0.5" footer="0.5"/>
  <pageSetup paperSize="5" scale="1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Concentrado Ingresos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Jorjais</cp:lastModifiedBy>
  <dcterms:created xsi:type="dcterms:W3CDTF">2023-06-28T16:42:15Z</dcterms:created>
  <dcterms:modified xsi:type="dcterms:W3CDTF">2023-06-28T18:21:12Z</dcterms:modified>
</cp:coreProperties>
</file>